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7CD6B3DD-BA92-4AF0-B603-B0B74CB515E6}" xr6:coauthVersionLast="47" xr6:coauthVersionMax="47" xr10:uidLastSave="{00000000-0000-0000-0000-000000000000}"/>
  <bookViews>
    <workbookView xWindow="-110" yWindow="-110" windowWidth="19420" windowHeight="1042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5" i="1" l="1"/>
  <c r="Y74" i="1" l="1"/>
  <c r="AB74" i="1" s="1"/>
  <c r="Y70" i="1"/>
  <c r="AB70" i="1" s="1"/>
  <c r="Y68" i="1"/>
  <c r="Y64" i="1"/>
  <c r="Y62" i="1"/>
  <c r="AA46" i="1"/>
  <c r="Y52" i="1"/>
  <c r="Y37" i="1"/>
  <c r="AB37" i="1" s="1"/>
  <c r="AA24" i="1"/>
  <c r="Y35" i="1"/>
  <c r="AB35" i="1" s="1"/>
  <c r="Y30" i="1"/>
  <c r="AB30" i="1" s="1"/>
  <c r="Y28" i="1"/>
  <c r="Y24" i="1"/>
  <c r="Y13" i="1"/>
  <c r="Y3" i="1"/>
  <c r="BA74" i="1"/>
  <c r="BB74" i="1" s="1"/>
  <c r="BD74" i="1" s="1"/>
  <c r="BD3" i="1"/>
  <c r="AR17" i="1"/>
  <c r="Y15" i="1" s="1"/>
  <c r="AS50" i="1" l="1"/>
  <c r="Y46" i="1" s="1"/>
  <c r="AS47" i="1"/>
  <c r="R76" i="1"/>
  <c r="N76" i="1"/>
  <c r="X70" i="1"/>
  <c r="N68" i="1"/>
  <c r="R62" i="1"/>
  <c r="X46" i="1"/>
  <c r="T46" i="1"/>
  <c r="R46" i="1"/>
  <c r="X41" i="1"/>
  <c r="X35" i="1"/>
  <c r="X30" i="1"/>
  <c r="V35" i="1"/>
  <c r="X37" i="1"/>
  <c r="T24" i="1"/>
  <c r="P30" i="1" l="1"/>
  <c r="N24" i="1"/>
  <c r="R28" i="1"/>
  <c r="X20" i="1"/>
  <c r="X18" i="1"/>
  <c r="T18" i="1"/>
  <c r="P18" i="1"/>
  <c r="BD62" i="1" l="1"/>
  <c r="BD46" i="1"/>
  <c r="BD37" i="1"/>
  <c r="BD24" i="1"/>
  <c r="BD18" i="1"/>
  <c r="U76" i="1"/>
  <c r="U68" i="1"/>
  <c r="U64" i="1"/>
  <c r="U62" i="1"/>
  <c r="AB62" i="1" s="1"/>
  <c r="V41" i="1"/>
  <c r="W37" i="1" s="1"/>
  <c r="AP61" i="1"/>
  <c r="AP59" i="1"/>
  <c r="U28" i="1"/>
  <c r="X28" i="1" s="1"/>
  <c r="U24" i="1"/>
  <c r="U13" i="1"/>
  <c r="AO15" i="1"/>
  <c r="U15" i="1" s="1"/>
  <c r="X15" i="1" s="1"/>
  <c r="AP15" i="1"/>
  <c r="AP13" i="1"/>
  <c r="AP12" i="1"/>
  <c r="AP10" i="1"/>
  <c r="AP9" i="1"/>
  <c r="AP5" i="1"/>
  <c r="AP4" i="1"/>
  <c r="AP3" i="1"/>
  <c r="AM70" i="1"/>
  <c r="AM69" i="1"/>
  <c r="AM31" i="1"/>
  <c r="AM15" i="1"/>
  <c r="AM14" i="1"/>
  <c r="AM13" i="1"/>
  <c r="W18" i="1"/>
  <c r="F62" i="1"/>
  <c r="X64" i="1" l="1"/>
  <c r="AB64" i="1"/>
  <c r="Z13" i="1"/>
  <c r="AB13" i="1"/>
  <c r="X76" i="1"/>
  <c r="AB76" i="1"/>
  <c r="BD79" i="1"/>
  <c r="V62" i="1"/>
  <c r="W62" i="1" s="1"/>
  <c r="X62" i="1"/>
  <c r="V13" i="1"/>
  <c r="X13" i="1"/>
  <c r="S76" i="1"/>
  <c r="T76" i="1"/>
  <c r="T70" i="1"/>
  <c r="T64" i="1"/>
  <c r="T62" i="1"/>
  <c r="T59" i="1"/>
  <c r="T52" i="1"/>
  <c r="T41" i="1"/>
  <c r="T37" i="1"/>
  <c r="T35" i="1"/>
  <c r="T28" i="1"/>
  <c r="T20" i="1"/>
  <c r="F18" i="1" s="1"/>
  <c r="S18" i="1"/>
  <c r="N18" i="1"/>
  <c r="O18" i="1" s="1"/>
  <c r="T15" i="1"/>
  <c r="T13" i="1"/>
  <c r="F24" i="1" l="1"/>
  <c r="V46" i="1"/>
  <c r="T30" i="1" l="1"/>
  <c r="F46" i="1"/>
  <c r="S62" i="1" l="1"/>
  <c r="S46" i="1"/>
  <c r="R41" i="1"/>
  <c r="R37" i="1"/>
  <c r="R35" i="1"/>
  <c r="R15" i="1"/>
  <c r="R13" i="1"/>
  <c r="S37" i="1" l="1"/>
  <c r="S24" i="1"/>
  <c r="P76" i="1"/>
  <c r="P75" i="1"/>
  <c r="P74" i="1"/>
  <c r="P73" i="1"/>
  <c r="P70" i="1"/>
  <c r="P68" i="1"/>
  <c r="P64" i="1"/>
  <c r="P62" i="1"/>
  <c r="P59" i="1"/>
  <c r="P52" i="1"/>
  <c r="P46" i="1"/>
  <c r="W46" i="1" s="1"/>
  <c r="P41" i="1"/>
  <c r="P37" i="1"/>
  <c r="P35" i="1"/>
  <c r="P28" i="1"/>
  <c r="P24" i="1"/>
  <c r="P20" i="1"/>
  <c r="P15" i="1"/>
  <c r="P13" i="1"/>
  <c r="N75" i="1"/>
  <c r="N74" i="1"/>
  <c r="N73" i="1"/>
  <c r="N70" i="1"/>
  <c r="N64" i="1"/>
  <c r="N62" i="1"/>
  <c r="N59" i="1"/>
  <c r="N52" i="1"/>
  <c r="N46" i="1"/>
  <c r="N41" i="1"/>
  <c r="N37" i="1"/>
  <c r="N35" i="1"/>
  <c r="N30" i="1"/>
  <c r="N28" i="1"/>
  <c r="W24" i="1" l="1"/>
  <c r="O37" i="1"/>
  <c r="O62" i="1"/>
  <c r="O24" i="1"/>
  <c r="O46" i="1"/>
  <c r="O74" i="1"/>
  <c r="N15" i="1"/>
  <c r="N13" i="1"/>
  <c r="AJ31" i="1"/>
  <c r="AJ14" i="1"/>
  <c r="AJ13" i="1"/>
  <c r="M3" i="1" l="1"/>
  <c r="AX70" i="1"/>
  <c r="AX69" i="1"/>
  <c r="AX65" i="1"/>
  <c r="AX50" i="1"/>
  <c r="BA46" i="1" s="1"/>
  <c r="AX37" i="1"/>
  <c r="BA37" i="1" s="1"/>
  <c r="AX35" i="1"/>
  <c r="AX28" i="1"/>
  <c r="AX18" i="1"/>
  <c r="BA18" i="1" s="1"/>
  <c r="AX17" i="1"/>
  <c r="N3" i="1" l="1"/>
  <c r="O3" i="1" s="1"/>
  <c r="AB3" i="1"/>
  <c r="Z3" i="1"/>
  <c r="AA3" i="1" s="1"/>
  <c r="W79" i="1" s="1"/>
  <c r="F3" i="1"/>
  <c r="BA24" i="1"/>
  <c r="X3" i="1"/>
  <c r="T3" i="1"/>
  <c r="V3" i="1"/>
  <c r="W3" i="1" s="1"/>
  <c r="P3" i="1"/>
  <c r="R3" i="1"/>
  <c r="S3" i="1" s="1"/>
  <c r="BA3" i="1"/>
  <c r="BA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tc={55750BAD-B179-2548-BCF9-02C40222702A}</author>
    <author>tc={82930E0F-2528-244E-A6A4-65484BAB82E3}</author>
    <author>luz estela</author>
    <author>tc={8D7899D8-FD68-1E4F-8285-92DA904EC4A2}</author>
    <author>tc={3DBB79D0-BF7A-544C-A7EE-CC336FD08DF5}</author>
    <author>tc={CA160D29-F12E-4548-9468-97F755CF8F9F}</author>
    <author>tc={35CCBA4F-F400-6946-99EF-46F8B68CEA79}</author>
    <author>tc={EDEDF7D3-DF60-064B-BA5F-5C98686BAD5C}</author>
    <author>tc={C5C9DDFB-44A6-034F-BA2E-68FACBB268F1}</author>
  </authors>
  <commentList>
    <comment ref="AJ3"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BIBLIOTECAS
</t>
      </text>
    </comment>
    <comment ref="AJ4" authorId="1" shapeId="0" xr:uid="{00000000-0006-0000-00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COORDINADORES
</t>
      </text>
    </comment>
    <comment ref="L13" authorId="2" shapeId="0" xr:uid="{00000000-0006-0000-0000-000003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AH13"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CADA EVENTO SE MULTIPLICA PARA CADA BIBLIOTECA</t>
      </text>
    </comment>
    <comment ref="L15" authorId="2" shapeId="0" xr:uid="{00000000-0006-0000-0000-000005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L30" authorId="2" shapeId="0" xr:uid="{00000000-0006-0000-0000-000006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AF73" authorId="4"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AZ74" authorId="5"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
</t>
      </text>
    </comment>
    <comment ref="K76" authorId="6" shapeId="0" xr:uid="{00000000-0006-0000-00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AT76" authorId="7"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AZ76" authorId="8" shapeId="0" xr:uid="{00000000-0006-0000-00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t>
      </text>
    </comment>
  </commentList>
</comments>
</file>

<file path=xl/sharedStrings.xml><?xml version="1.0" encoding="utf-8"?>
<sst xmlns="http://schemas.openxmlformats.org/spreadsheetml/2006/main" count="657" uniqueCount="545">
  <si>
    <t>FORMATO PLAN DE ACCIÓN 2021
DEPENDENCIA: PLANEACIÓN-IPCC
VIGENCIA 2020</t>
  </si>
  <si>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</si>
  <si>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</si>
  <si>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</si>
  <si>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</si>
  <si>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</si>
  <si>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</si>
  <si>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</si>
  <si>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</si>
  <si>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</si>
  <si>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VALOR META PRODUCTO   A 2021</t>
  </si>
  <si>
    <t>PROYECTO</t>
  </si>
  <si>
    <t>Código de proyecto BPIM</t>
  </si>
  <si>
    <t>Objetivo del Proyecto</t>
  </si>
  <si>
    <t>Actividades de Proyecto</t>
  </si>
  <si>
    <t>Valor Absoluto de la Actividad del  Proyecto 2021</t>
  </si>
  <si>
    <t>Valor Absoluto de la Actividad del  Proyecto 2020 - 2023</t>
  </si>
  <si>
    <t xml:space="preserve">División Responsable </t>
  </si>
  <si>
    <t>Fuente de Financiación</t>
  </si>
  <si>
    <t>Apropiación Definitiva
(en pesos)</t>
  </si>
  <si>
    <t>Rubro Presupuestal</t>
  </si>
  <si>
    <t>Código Presupuestal</t>
  </si>
  <si>
    <t xml:space="preserve">
Relación de Evidencias y Comentarios</t>
  </si>
  <si>
    <t>Cartagena Incluyente</t>
  </si>
  <si>
    <t>Línea estratégica artes, cultura y patrimonio para una Cartagena Incluyente</t>
  </si>
  <si>
    <t xml:space="preserve">Porcentaje de participantes en procesos de promoción de lectura en las bibliotecas del Distrito.
</t>
  </si>
  <si>
    <t xml:space="preserve">35.57%  - 335.815 Personas
</t>
  </si>
  <si>
    <t xml:space="preserve">Incrementar en un 20% los participantes en procesos de promoción de lectura adecuados a las condiciones sanitarias, de comunicación y a las restricciones de bioseguridad que establezcan las autoridades competentes.
</t>
  </si>
  <si>
    <t>Mediación Y Bibliotecas para la Inclusión.</t>
  </si>
  <si>
    <t xml:space="preserve"> Número de  personas con asistencias técnicas en asuntos de gestión de bibliotecas públicas y programas de lectura y escritura creativa vinculadas en forma presencial y en línea.
</t>
  </si>
  <si>
    <t>335.815 personas</t>
  </si>
  <si>
    <t xml:space="preserve">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</si>
  <si>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</si>
  <si>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Fortalecer las bibliotecas públicas como laboratorios sociales y lugares de encuentro intergeneracional de saberes en lectura, escritura creativa y la apropiación social del patrimonio cultural  en Cartagena.</t>
  </si>
  <si>
    <t>División de Promoción Cultural</t>
  </si>
  <si>
    <t>ICLD</t>
  </si>
  <si>
    <t>Mediación y bibliotecas para la inclusion</t>
  </si>
  <si>
    <t>02-057-06-20-02-05-01-01</t>
  </si>
  <si>
    <t>02-001-06-20-02-05-01-01</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</si>
  <si>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</si>
  <si>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</si>
  <si>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</si>
  <si>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</si>
  <si>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Valoración, cuidado y control del patrimonio material</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</si>
  <si>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</si>
  <si>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 162</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</si>
  <si>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</si>
  <si>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</si>
  <si>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SGP</t>
  </si>
  <si>
    <t>Número de asistencias técnicas en encuentros de saberes en las  bibliotecas públicas presencial y en línea adecuadas a las condiciones sanitarias, de comunicación y a las restricciones de bioseguridad que establezcan las autoridades competentes.</t>
  </si>
  <si>
    <t>ND</t>
  </si>
  <si>
    <t>720 asistencias técnicas en encuentros de saberes en las bibliotecas públicas presencial y en línea adecuadas a las condiciones sanitarias, de comunicación y a las restricciones de bioseguridad que establezcan las autoridades competentes.</t>
  </si>
  <si>
    <t xml:space="preserve">Número de asistencias técnicas en actividades de extensión bibliotecaria en la comunidad.
</t>
  </si>
  <si>
    <t>217 Asistencias.</t>
  </si>
  <si>
    <t>300 asistencias técnicas en actividades de extensión bibliotecaria en la comunidad adecuadas a las condiciones sanitarias, de comunicación y a las restricciones de bioseguridad que establezcan las autoridades competentes.</t>
  </si>
  <si>
    <t>1.       Desarrollar actividades itinerantes de la oferta de los servicios bibliotecarios para consolidar una ciudadanía crítica, proactiva, analítica, imaginativa, resiliente, inclusiva y libre.</t>
  </si>
  <si>
    <t>SGP - Estampilla Procultura</t>
  </si>
  <si>
    <t>02-057-06-20-02-05-01-01/02-082-06-20-02-05-01-01</t>
  </si>
  <si>
    <t>2.       Crear   alianzas con instituciones educativas que nos permitan garantizar la participación comunitaria en la creación de contenidos, con producción y acceso de calidad, en las redes globales de información y conocimiento cultural.</t>
  </si>
  <si>
    <t>Estampilla Procultura</t>
  </si>
  <si>
    <t>02-082-06-20-02-05-01-01</t>
  </si>
  <si>
    <t>3.    Realizar talleres presenciales o a distancia de formación artística y cultural orientados hacia el fomento y el fortalecimiento de valores para la paz, dirigido a estudiantes de IE en el marco de la Ley 1620 de 2013 o Ley de Convivencia Escolar.</t>
  </si>
  <si>
    <t>Porcentaje  de infraestructura cultural mantenida y conservada.</t>
  </si>
  <si>
    <t xml:space="preserve">        57%
18 bibliotecas, plaza de toros, Teatro Adolfo Mejía, Teatrino El  Socorro
</t>
  </si>
  <si>
    <t>Mantener y conservar el 100% de la infraestructura cultural.</t>
  </si>
  <si>
    <t>Infraestructura Cultural Para La Inclusión.</t>
  </si>
  <si>
    <t xml:space="preserve">Servicio de mantenimiento de infraestructura cultural pública. </t>
  </si>
  <si>
    <t>12 infraestructuras culturales conservadas (Bibliotecas, centros culturales, Teatro Adolfo Mejía, Teatrino El Socorro)</t>
  </si>
  <si>
    <t xml:space="preserve">Infraestructuras culturales mantenidas y conservadas.
</t>
  </si>
  <si>
    <t xml:space="preserve">21 infraestructuras culturales mantenidas y conservadas.
</t>
  </si>
  <si>
    <t>Fortalecimiento de la infraestructura cultural, para afianzar la enseñanza,  el ejercicio de las artes y el trabajo cultural en el distrito de Cartagena. </t>
  </si>
  <si>
    <t>1. Adecuación, ampliación, reparaciones, mantenimiento y conservación de los 21 escenarios.</t>
  </si>
  <si>
    <t>División de Patrimonio Cultural</t>
  </si>
  <si>
    <t>ICLD. - Estampilla Procultura - SGP - Venta de servicios TEATRO ADOLFO MEJIA - LEY DE ESPECTACULOS PÚBLICOS</t>
  </si>
  <si>
    <t>Infraestructura cultural para la inclusión</t>
  </si>
  <si>
    <t>02-001-06-20-02-05-06-01/02-082-06-20-02-05-06-01/02-057-06-20-02-05-06-01/ 02-032-06-20-02-05-06-01/02-134-06-20-02-05-06-01</t>
  </si>
  <si>
    <t>2. Generar alianza con MINCULTURA para diseñar la estrategia tendiente a la recuperación del BICNAL cementerio Santa Cruz de Manga.</t>
  </si>
  <si>
    <t>Servicio de actualización tecnológica de las bibliotecas distritales (Colecciones digitales, mejora del internet, de los equipos, etc.)</t>
  </si>
  <si>
    <t xml:space="preserve">18 bibliotecas.
</t>
  </si>
  <si>
    <t xml:space="preserve">Bibliotecas con servicios de actualización tecnológica.
</t>
  </si>
  <si>
    <t xml:space="preserve">6 Bibliotecas con servicios de actualización tecnológica.
</t>
  </si>
  <si>
    <t>1. Actualización tecnológica de  6 bibliotecas.</t>
  </si>
  <si>
    <t>02-057-06-20-02-05-06-01</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</si>
  <si>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</si>
  <si>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</si>
  <si>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</si>
  <si>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</si>
  <si>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</si>
  <si>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120 
proyectos. 
</t>
  </si>
  <si>
    <t>Proyectos de fomento para el acceso de la oferta artística, cultural y creativa en estímulos y becas adecuados a las condiciones sanitarias, de comunicación y a las restricciones de bioseguridad que establezcan las autoridades competentes.</t>
  </si>
  <si>
    <t>240 proyectos de fomento para el acceso de la oferta artística, cultural y creativa en estímulos y becas adecuados a las condiciones sanitarias, de comunicación y a las restricciones de bioseguridad que establezcan las autoridades competentes.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</si>
  <si>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</si>
  <si>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</si>
  <si>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Estimulos para las artes y la cultura</t>
  </si>
  <si>
    <t>02-001-06-20-02-05-02-02</t>
  </si>
  <si>
    <t>2. Realizar convocatoria de concertación para impulsar, facilitar, apoyar y hacer visibles procesos y actividades artísticas y culturales.</t>
  </si>
  <si>
    <t>3. Realizar convocatoria de Estímulos para el desarrollo y sostenibilidad de  prácticas artísticas y culturales.</t>
  </si>
  <si>
    <t>02-057-06-20-02-05-02-02</t>
  </si>
  <si>
    <t>4. Realizar evento presencial y/o a distancia para visibilizar las industrias creativas locales.</t>
  </si>
  <si>
    <t>120 Grupos.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</si>
  <si>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</si>
  <si>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</si>
  <si>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</si>
  <si>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02-082-06-20-02-05-02-02</t>
  </si>
  <si>
    <t>2. Realizar evento de divulgación presencial o a distancia para fomentar la circulación alternativa de contenidos culturales diversos e inclusivos.</t>
  </si>
  <si>
    <t>Rendimientos Financieros SGP - Proposito General</t>
  </si>
  <si>
    <t>02-075-06-20-02-05-02-02</t>
  </si>
  <si>
    <t>Número de personas del sector artístico, cultural y creativo, participando en los procesos de formación formal e informal  en forma presencial y/o en línea.</t>
  </si>
  <si>
    <t xml:space="preserve">38.062 
personas.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</si>
  <si>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</si>
  <si>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53.286 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</si>
  <si>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</si>
  <si>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</si>
  <si>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 xml:space="preserve"> Formación y divulgación para las artes y el emprendimiento</t>
  </si>
  <si>
    <t>2 .Realizar procesos de formación artística, presencial y/o a distancia, y de formación de públicos, dirigido a personas de especial protección, como funciones, talleres y capacitaciones en temas de artes plásticas, visuales, escénicas, literatura, entre otras.</t>
  </si>
  <si>
    <t>SGP- ICLD</t>
  </si>
  <si>
    <t>02-057-06-20-02-05-02-01/02-001-06-20-02-05-02-02</t>
  </si>
  <si>
    <t>3. Realizar proceso de formación, presencial o a distancia, en temas relacionados con las industrias culturales y creativas para creadores y gestores de la ciudad.</t>
  </si>
  <si>
    <t>02-057-06-20-02-05-02-01</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</si>
  <si>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</si>
  <si>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</si>
  <si>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</si>
  <si>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</si>
  <si>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Realizar 12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</si>
  <si>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</si>
  <si>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02-057-06-20-02-05-02-01/02-082-06-20-02-05-02-01</t>
  </si>
  <si>
    <t>2. Propiciar alianzas locales, regionales, nacionales e internacionales para fortalecer y proyectar los emprendimientos artísticos, culturales y creativos, incluyendo a los escenarios culturales tales como salas de artes escénicas, de exposiciones, museos, etc.</t>
  </si>
  <si>
    <t>Estampilla procultura</t>
  </si>
  <si>
    <t>02-082-06-20-02-05-02-01</t>
  </si>
  <si>
    <t>Derechos Culturales y Buen Gobierno para el Fortalecimiento Institucional y Ciudadano.</t>
  </si>
  <si>
    <t>Documentos de políticas públicas presentadas por el IPCC con lineamientos técnicos formulados.</t>
  </si>
  <si>
    <t>Políticas públicas formuladas y presentadas articuladas intersectorialmente.</t>
  </si>
  <si>
    <t>4 políticas públicas formuladas y presentadas articuladas intersectorialmente.</t>
  </si>
  <si>
    <t>1. Formular y desarrollar  cuatro documentos de política pública, construida participativamente con los actores del ecosistema cultural, atendiendo al enfoque de Acción sin daño y a los enfoques diferenciales, poblacionales y territoriales.</t>
  </si>
  <si>
    <t>Protecion y garantia de los derechos culturales en el Distrito de Cartagena</t>
  </si>
  <si>
    <t>02-057-06-20-02-05-05-01 /02-082-06-20-02-05-05-02</t>
  </si>
  <si>
    <t>2. Realizar proceso de formación Y pedagogía a los consejeros  pertenecientes al SDC.</t>
  </si>
  <si>
    <t xml:space="preserve">02-057-06-20-02-05-05-01   </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</si>
  <si>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</si>
  <si>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02-001-06-20-02-05-05-01</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</si>
  <si>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</si>
  <si>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02-057-06-20-02-05-05-01  /02-001-06-20-02-05-05-01</t>
  </si>
  <si>
    <t>Documentos normativos de modernización del IPCC formulado y presentado.</t>
  </si>
  <si>
    <t>Modernización del IPCC.</t>
  </si>
  <si>
    <t>1 documento de modernización del IPCC formulado y presentado.</t>
  </si>
  <si>
    <t>Fortalecimiento y modernización institucional del instituto de patrimonio y cultural (IPCC) en el distrito de cartagena de indias.</t>
  </si>
  <si>
    <t>1. Fase de Aprestamiento.</t>
  </si>
  <si>
    <t>División Administrativa y Financiera</t>
  </si>
  <si>
    <t>Fortalecimiento institucional</t>
  </si>
  <si>
    <t>02-001-06-20-02-05-05-02</t>
  </si>
  <si>
    <t>2.  Fase Diagnóstica.</t>
  </si>
  <si>
    <t>3. Fase de Diseño.</t>
  </si>
  <si>
    <t>4. Fase de Implementación.</t>
  </si>
  <si>
    <t>5. Fase de Revisión y Actualización del ACUERDO N° 001 DE 2003.</t>
  </si>
  <si>
    <t>Porcentaje de portadores de la tradición y participantes en  las fiestas  y festivales del distrito cualificados (medido en grupos participantes)</t>
  </si>
  <si>
    <t xml:space="preserve">60%
(178 grupos)
</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</si>
  <si>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</si>
  <si>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</si>
  <si>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</si>
  <si>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178 grupos.</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</si>
  <si>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</si>
  <si>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</si>
  <si>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1.Realizar caracterización y diagnóstico sobre los emprendimientos productivos de los hacedores de las fiestas y festejos locales con miras a crear un documento de prácticas festivas para la salvaguarda del patrimonio cultural.</t>
  </si>
  <si>
    <t xml:space="preserve">Estampilla Procultura </t>
  </si>
  <si>
    <t>Prácticas significativas del Patrimonio Inmaterial</t>
  </si>
  <si>
    <t>02-082-06-20-02-05-03-01</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</si>
  <si>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</si>
  <si>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Estampilla Procultura- SGP</t>
  </si>
  <si>
    <t>02-082-06-20-02-05-03-01/ 02-057-06-20-02-05-03-01</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</si>
  <si>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</si>
  <si>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02-057-06-20-02-05-03-01</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</si>
  <si>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</si>
  <si>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</si>
  <si>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ICLD. - Estampilla Procultura - Convenios y venta de servicios </t>
  </si>
  <si>
    <t>02-001-06-20-02-05-03-01/02-057-06-20-02-05-03-01</t>
  </si>
  <si>
    <t>6.Promover la circulación de artistas festivos locales en la red de museos, bibliotecas públicas, las instituciones educativas, y los escenarios artísticos y culturales.</t>
  </si>
  <si>
    <t>Número de festivales y ferias  de salvaguardia al patrimonio inmaterial.</t>
  </si>
  <si>
    <t>12 festivales.</t>
  </si>
  <si>
    <t xml:space="preserve"> Festivales y ferias de salvaguardia al patrimonio inmaterial adecuados a las condiciones sanitarias, de comunicación y a las restricciones de bioseguridad que establezcan las autoridades competentes.</t>
  </si>
  <si>
    <t>16 festivales y ferias de salvaguardia al patrimonio inmaterial adecuados a las condiciones sanitarias, de comunicación y a las restricciones de bioseguridad que establezcan las autoridades competentes.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</si>
  <si>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</si>
  <si>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</si>
  <si>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02-001-06-20-02-05-03-01</t>
  </si>
  <si>
    <t>3. Realizar festivales y/o ferias en torno a las prácticas significativas para la memoria y las tradiciones, con enfoque diferencial.(festival de humanidades, festival de la memoria oral, feria artesanal, entre otros).</t>
  </si>
  <si>
    <t>Rendimientos financieros cultura - Multas y sanciones</t>
  </si>
  <si>
    <t>02-073-06-20-02-05-03-01/02-095-06-20-02-05-03-01</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</si>
  <si>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</si>
  <si>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</si>
  <si>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Rendimientos financieros cultura</t>
  </si>
  <si>
    <t>02-073-06-20-02-05-03-01</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</si>
  <si>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</si>
  <si>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</si>
  <si>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</si>
  <si>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Planes  Especiales de Salvaguardia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</si>
  <si>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</si>
  <si>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1. Desarrollar un (1) proceso ciudadano en la formulación del Plan Especial de Salvaguardia (PES) de las Fiestas de Independencia del 11 de noviembre.</t>
  </si>
  <si>
    <t>Salvaguarda del Patrimonio inmaterial en Cartagena de indias</t>
  </si>
  <si>
    <t>02-095-06-20-02-05-03-01</t>
  </si>
  <si>
    <t>2. Desarrollar un (1) proceso ciudadano en la formulación del Plan Especial de Salvaguardia (PES) de la Champeta.</t>
  </si>
  <si>
    <t>ICLD - SGP</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</si>
  <si>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</si>
  <si>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</si>
  <si>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</si>
  <si>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</si>
  <si>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</si>
  <si>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</si>
  <si>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20 acciones.</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</si>
  <si>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</si>
  <si>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</si>
  <si>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Fortalecimiento a la apropiación social y divulgación del patrimonio material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</si>
  <si>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</si>
  <si>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Aprropiación social y divulgación del patrimonio material</t>
  </si>
  <si>
    <t>02-001-06-20-02-05-04-01</t>
  </si>
  <si>
    <t>2. Crear estímulos que fomenten la investigación, la producción de material pedagógico y el diseño de contenidos curriculares en torno a la apropiación social del patrimonio cultural y la emergencia climática.</t>
  </si>
  <si>
    <t>Número de acciones, de apropiación social del patrimonio material, divulgación y comunicación  social del patrimonio presenciales y/o virtual. (campañas, lineamientos para apropiación social del patrimonio, seminarios internacionales, etc.)</t>
  </si>
  <si>
    <t>18 acciones.</t>
  </si>
  <si>
    <t>Acciones, de apropiación social del patrimonio material, divulgación y comunicación social del patrimonio adecuadas a las condiciones sanitarias, de comunicación y a las restricciones de bioseguridad que establezcan las autoridades competentes.</t>
  </si>
  <si>
    <t>36 acciones, de apropiación social del patrimonio material, divulgación y comunicación social del patrimonio adecuadas a las condiciones sanitarias, de comunicación y a las restricciones de bioseguridad que establezcan las autoridades competentes.</t>
  </si>
  <si>
    <t>1. Diseñar estrategias de divulgación que promuevan la puesta en valor del patrimonio cultural y su apropiación social, y que fomenten el trabajo académico en torno a su conservación.</t>
  </si>
  <si>
    <t>02-001-06-20-02-05-04-01/02-057-06-20-02-05-04-01</t>
  </si>
  <si>
    <t>2. Crear estrategias para la transferencia de conocimientos en torno a la apropiación social del patrimonio material adaptadas a las nuevas realidades del Covid-19 a través de alianzas con la red de museos locales, nacionales e internacionales.</t>
  </si>
  <si>
    <t>02-082-06-20-02-05-04-01</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</si>
  <si>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</si>
  <si>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</si>
  <si>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02-057-06-20-02-05-04-01</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</si>
  <si>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</si>
  <si>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</si>
  <si>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promoción de acciones de preservación del patrimonio material inmuebles para su conservación.</t>
  </si>
  <si>
    <t>Realizar la promoción de acciones de preservación del patrimonio material inmueble mantenidos (gestiones de control, verificación, supervisión asesorías) en 127 inmuebles para su conservación.</t>
  </si>
  <si>
    <t>1. Crear un sistema digital en el que se recopile la información y seguimientos a los inmuebles ubicados en el Centro Histórico, su área de influencia y periferia histórica.</t>
  </si>
  <si>
    <t>02-001-06-20-02-05-04-02/02-057-06-20-02-05-04-02</t>
  </si>
  <si>
    <t>ICLD - CONTRAPRESTACIONES PORTUARIAS</t>
  </si>
  <si>
    <t>02-001-06-20-02-05-04-02/02-001-06-20-02-05-04-03/02-053-06-20-02-05-04-03</t>
  </si>
  <si>
    <t>Servicios  relacionados con la preservación  del patrimonio material inmueble (gestiones de control, verificación, supervisión asesorías) para el mantenimiento de los inmuebles del centro histórico y su área de influencia.</t>
  </si>
  <si>
    <t>1.767  inmuebles del Centro Histórico  y su área de influencia que han tenido algún tipo de intervención (restauración, consolidación, adecuación, mantenimiento, obras de apuntalamiento preventivo, etc.)</t>
  </si>
  <si>
    <t>Promoción de acciones de mantenimiento de los Inmuebles del Centro Histórico y su área de influencia que han tenido algún tipo de intervención, a través gestiones de control, verificación, supervisión y asesorías.</t>
  </si>
  <si>
    <t>Realizar la promoción de acciones de mantenimiento de los 1.767 Inmuebles del Centro Histórico y su área de influencia que han tenido algún tipo de intervención, a través gestiones de control, verificación, supervisión, asesorías.</t>
  </si>
  <si>
    <t>ICLD-SGP - Estampilla Procultura</t>
  </si>
  <si>
    <t>02-057-06-20-02-05-04-02/02-057-06-20-02-05-04-03/02-082-06-20-02-05-04-02</t>
  </si>
  <si>
    <t>2. Realizar alianzas con Universidades, instituciones educativas privadas y/o entidades públicas con el fin de promocionar e impulsar las acciones legales y técnicas para el mantenimiento de los inmuebles.</t>
  </si>
  <si>
    <t>02-082-06-20-02-05-04-02</t>
  </si>
  <si>
    <t>3. Desarrollar campañas, elaborar cartillas y/o manuales (digitales e impresos), organizar encuentros académicos y pedagógicos que fomenten la apropiación de las normas patrimoniales de los inmuebles declarados bienes de interés cultural.</t>
  </si>
  <si>
    <t>Cartagena Transparente</t>
  </si>
  <si>
    <t>Linea estratégica: Cartagena Inteligente con todos y para todos</t>
  </si>
  <si>
    <t>Premio Jorge Piedrahita Aduen</t>
  </si>
  <si>
    <t>Número de premios otorgados</t>
  </si>
  <si>
    <t>Reconocimientos sobre investigaciones del impacto de la corrupción en cartagena.</t>
  </si>
  <si>
    <t>Otorgar 12 reconocimientos en el consurso sobre investigaciones del impacto de la corrupción en cartagena.</t>
  </si>
  <si>
    <t>Convocatoria pública para la entrega de estimulo o reconomciento en el marco del concirso sobre investigaciones de impacto de la corrupción en cartagena.</t>
  </si>
  <si>
    <t>ICDL</t>
  </si>
  <si>
    <t>Linea estratégica para la equidad e inclusión de los negros, afros, palenqueros e indigena.</t>
  </si>
  <si>
    <t>Sostenibilidad cultural como garantía de permanencia</t>
  </si>
  <si>
    <t>Realización de festival de la memoria oral</t>
  </si>
  <si>
    <t xml:space="preserve"> festivales de la memoria oral</t>
  </si>
  <si>
    <t>Realización de 3 festivales de la memorial oral.</t>
  </si>
  <si>
    <t>02-001-06-60-01-03-12-01</t>
  </si>
  <si>
    <t>Apoyo a grupos culturales</t>
  </si>
  <si>
    <t>Grupos Culturales apoyados</t>
  </si>
  <si>
    <t>12 grupos culturales apoyados</t>
  </si>
  <si>
    <t>Apoyar grupos culturales de minorias etnicas en procesos artisticos y culturales</t>
  </si>
  <si>
    <t>Linea estratégica jovenes salvando a cartagena</t>
  </si>
  <si>
    <t>Jovenes participando y salvando a cartagena</t>
  </si>
  <si>
    <t>Jovenes participando en espacios culturales, deportivos y acciones de cultura de paz</t>
  </si>
  <si>
    <t>Jovenes que partipan en espacios culturales, deportivos y acciones de cultura de paz</t>
  </si>
  <si>
    <t>Actividades artisticas y culturales dirigidas a jovenes en torno a una cultura de paz</t>
  </si>
  <si>
    <t>02-001-06-60-01-03-13-01</t>
  </si>
  <si>
    <t>REPORTE META PRODUCTO  MARZO 2021</t>
  </si>
  <si>
    <t>% AVANCE META PRODUCTO A MARZO 2021</t>
  </si>
  <si>
    <t>1. Los coordinadores de la Red se encuentran en el proceso de ejecución del inventario del acervo bibliografico.</t>
  </si>
  <si>
    <t>Formación en mediación de lectura para adolescentes escolarizados de 9º y 10º a través del proceso ENRAIZARTE</t>
  </si>
  <si>
    <t xml:space="preserve">Eventos de promoción y mediación de lectura en cada una de las bibliotecas, Cine foro, Talleres de macramé, actividades de lectura en voz alta en cada una de las bibliotecas públicas de manera periodica y eventos a través de redes sociales </t>
  </si>
  <si>
    <t>Restablecimiento de los clubes de lectura de la Red de Bibliotecas Públicas y diseño de piezas gráficas para la invitación a través de redes a las jornadas de lectura</t>
  </si>
  <si>
    <t>Celebración del evento las Mujeres de Macondo, Día Mundial de la Poesía, día internacional de eliminación de la discriminación racial, celebración del día de la mujer (Conversatorio 8M: La lucha por los derechos de las mujeres en escenarios de poder).</t>
  </si>
  <si>
    <t>1. Realización de la lectura texto monologo Lola arde en Raúl, lectura de "El poema de la Máscara" los días 29 y 28 de marzo, articulación desde el Bibloparque San Francisco con el Hay Festival en los conversatorios con Joe Sacco, Juan Cárdenas y Paúl Theroux el 27 de enero.                                                                                  2.Lanzamiento del libro “De la Psiquis a la Anatomía Teatral” de Carlos Ramírez, proyecto ganador de Estimulante 2020</t>
  </si>
  <si>
    <t>Diseño de  rutas itinerantes en los corregimientos Encarnación Tovar de La Boquilla, José Mogollón de Manzanillo del mar, Tierra Baja, Jesús Aguilar en Punta Canoa, Pontezuela, Juan CarlosArango de Bayunca y Balbino Carreazo. Los días 19, 20, 26 y 27 de febrero de 2021</t>
  </si>
  <si>
    <t>Creación del espacio El Gran Debate en el Biblioparque San Francisco con las Instituciones Educativas Francisco de Paula e Institución educativa Pies Descalzos.</t>
  </si>
  <si>
    <t>PROCESO DE MANTENIMIENTOS GENERALES DE 8 BIBLIOTECAS DISTRITALES</t>
  </si>
  <si>
    <t xml:space="preserve">INFORME DE VISITA DE RECONOCIMIENTO </t>
  </si>
  <si>
    <t>CONVOCATORIA OCHOEME</t>
  </si>
  <si>
    <t>PROCESOS DE FORMACIÓN A PÚBLICOS DE MANERA VIRTUAL:   1. Conversatorio con Germán Alberto Céspedes, doctor en Música y Hernán Alberto Salazar MG. en Historia del Arte sobre el legado de Adolfo  Mejía.   2.Empoderamiento en época de crisis.   3. Conversatorio lanzamiento ‘Cuadernos de Noviembre’</t>
  </si>
  <si>
    <t>1.Alianza con TERPEL, en proceso de circulación con las artesanas</t>
  </si>
  <si>
    <t>1. Festival del Frito 2021.                                     2. Festival del Dulce 2021</t>
  </si>
  <si>
    <t xml:space="preserve">1. Cubrimiento de acciones y actividades de Patrimonio, y publicación en redes sociales con la etiqueta #ProtejamosElPatrimonio.
2. Crear alianza con la Escuela Taller Cartagena de Indias, ETCAR, para generar contenido en conjunto a través de cápsulas informativas bajo la etiqueta #ViveElPatrimonio.
3.Organizar la Ruta del Patrimonio por la Red Distrital de Bibliotecas con la participación de las personas que asisten a los clubes de lectura. El objetivo es trabajar una temática mensual sobre la cual se reflexione, contando con apoyos didácticos como los Kits de Patrimonio de la UNESCO, video conferencias y encuentros presenciales con invitados especiales expertos en temas de Patrimonio.
4.Recorridos pregrabados que se transmitirán por Facebook Live como falso directo por lugares de la ciudad que son parte importante de nuestro patrimonio. Por ejemplo: los hornos de Barú, fuerte de Bocachica, La Popa, entre muchos otros. El objetivo es poder publicar un video mensual bajo la etiqueta #ConoceTuPatrimonio. 
5. Diseño de piezas pedagógicas para difundir publicaciones (libros) realizadas por la División de Patrimonio y que contienen información valiosa sobre el patrimonio de la ciudad. </t>
  </si>
  <si>
    <t xml:space="preserve">Durante el primer trimestre del año se han realizado las siguientes actuaciones a los diferentes procesos que tiene a cargo la división de patrimonio:
Procesos impulsados 2021: se han impulsado 6 procesos.
Procesos impulsados 2020: De los 28 procesos aperturados se encuentran gestionados e impulsados 18 procesos, de los cuales 3 procesos han culminado.
Procesos impulsados 2019: Se han impulsado 8 procesos. 
Procesos impulsados 2018:  Se han impulsado 18 procesos
Se han adelantado un total de 148 actuaciones. </t>
  </si>
  <si>
    <t>Inspecciones por desiganacion, inspecciones genrales, revision a grafitis y a intervenciones en espacio publico</t>
  </si>
  <si>
    <t xml:space="preserve">1. Taller en el marco de erradicación del racismo y discriminación "LA IGUALDAD DESDE LAS DIFERENCIAS /TODOS Y TODAS CONTRA EL RACISMO" </t>
  </si>
  <si>
    <t>REPORTE DE ACTIVIDADES DEL PROYECTO DESARROLLADAS MARZO 2021</t>
  </si>
  <si>
    <t>1. Ruedas de Saberes Festival del Frito "FRITO Y GRAFICA POPULAR". "UN CONECTOR DE CULTURA"   2. Ruedas de Saberes Festival del Dulce  "Conversatorio de Intercambio de Experiencias en la Elaboración de Dulces del Caribe" "Converatorio Empoderamiento en épocas de Crisis".</t>
  </si>
  <si>
    <t>Se encuentra en ejecucion el proceso de diagnostico de las áreas del IPCC.</t>
  </si>
  <si>
    <t xml:space="preserve"> 1. Proceso - programa iberoamericano de bibliotecas públicas IBERBIBLIOTECAS</t>
  </si>
  <si>
    <t>1. Taller la Igualdad desde las diferencias.                                                                     2. Capacitaciones en protocolos de bioseguridad</t>
  </si>
  <si>
    <t>1. Diagnostico del estado actual para la reapertura de las bibliotecas.</t>
  </si>
  <si>
    <t>https://drive.google.com/drive/folders/1BbJ7FWF2NdOCD-Dt7-6tq_Hsyhzb4x5b</t>
  </si>
  <si>
    <t>https://drive.google.com/drive/folders/1ATcG9xpYzxtikb8EdMTSyYcqz9fCHA1l?hl=es</t>
  </si>
  <si>
    <t>https://drive.google.com/drive/folders/1ZX2A-qGWb3fj-bPOrh73zlp9FXr-vBaa?hl=es</t>
  </si>
  <si>
    <t xml:space="preserve">https://drive.google.com/drive/u/8/folders/1T2IKBdJ-Uc42iU2-jkgKkUZ6gO5QDkYH 
https://drive.google.com/drive/u/8/folders/1it6fAsK6PahpUg_FJ8gvNv1QsW0zuLN9
</t>
  </si>
  <si>
    <t>https://docs.google.com/spreadsheets/d/11v5ffTbi0Cb5XPk7uFcJk3q_L5hj01OV/edit#gid=1637750287</t>
  </si>
  <si>
    <t>REPORTE EJECUCIÓN PRESUPUESTAL PROGRAMA 2021</t>
  </si>
  <si>
    <t xml:space="preserve">REPORTE ASIGNACION PRESUPUESTAL INICIAL PROGRAMA
</t>
  </si>
  <si>
    <t>8 BIBLIOTECAS</t>
  </si>
  <si>
    <t>6 personas</t>
  </si>
  <si>
    <t>1. 11 personas involucradas en el proceso de las ruedas de saberes (2 Conversatorios y 4 talleres en vivo)  así mismo un número de espectadores beneficiados de la ronda de saberes asistentes a través de 9000 reproducciones en línea.  2.14 invitados entre portadoras de tradición, académicos y empresarios, para disertación sobre las tradiciones gastronómicas 2000 espectadores entre los los 2 conversatorios y los 4 talleres, transmitidos a traves del canal del Facebook live del IPCC</t>
  </si>
  <si>
    <t>1. 70 beneficiarios.                                                 2. 82 benefeciarios</t>
  </si>
  <si>
    <t>Nº DE BENEFICIARIOS MARZO 2021</t>
  </si>
  <si>
    <t>OBSERVACIONES</t>
  </si>
  <si>
    <t>En cuanto a este proceso se han relizado mesas de trabajo con la secretaria general para realizar un convenio que permita la ejecuciñon de este proceso anticorruptivo, toda vez que solo fue asignado 1 peso al instituto para la ejecución del mismo.</t>
  </si>
  <si>
    <t>Actualmente se encuentra en la etapa de planificación y concertación.</t>
  </si>
  <si>
    <t>% AVANCE  PLAN DE DESARROLLO A 30 DE MARZO  2021</t>
  </si>
  <si>
    <t>% AVANCE DEL PROGRAMA A 30 DE MARZO 2021</t>
  </si>
  <si>
    <t xml:space="preserve">EL % DE AVANCE DE LA LINEA ESTRATEGICA ES DEL </t>
  </si>
  <si>
    <t>NOTA: LA PARTE PREUPUESTAL DE ESTA EVALUACION SE TOMA DE IGUAL FORMA COMO LA SUMINISTRO LA ENTIDAD YA QUE LA INFORMACION QUE SE RECIBE DEL PREDIS NO CONCUERDA</t>
  </si>
  <si>
    <t>REPORTE INDICADOR DE ACTIVIDADES MARZO 2021</t>
  </si>
  <si>
    <t>%AVANCE DE ACTIVIDADES DEL PROYECTO</t>
  </si>
  <si>
    <t>REPORTE DE ACTIVIDADES DEL PROYECTO DESARROLLADAS JUNIO 2021</t>
  </si>
  <si>
    <t>REPORTE INDICADOR DE ACTIVIDADES JUNIO 2021</t>
  </si>
  <si>
    <t xml:space="preserve">festival internacional de mùsica clasica </t>
  </si>
  <si>
    <t>% AVANCE META PRODUCTO A JUNIO 2021</t>
  </si>
  <si>
    <t>% AVANCE DEL PROGRAMA A 30 DE JUNIO 2021</t>
  </si>
  <si>
    <t>% AVANCE  PLAN DE DESARROLLO A 30 DE JUNIO  2021</t>
  </si>
  <si>
    <t>REPORTE META PRODUCTO  JUNIO 2021</t>
  </si>
  <si>
    <t>https://drive.google.com/file/d/1ZeTqJZpxYyXrq_kyEwmoUW6ab6cgFPEl/view</t>
  </si>
  <si>
    <t>Se realizaron visitas técnicas de inspección y control a diferentes inmuebles, tal como se ve en el informe ejecutivo anexo.</t>
  </si>
  <si>
    <t xml:space="preserve">Por medio de las diferentes redes sociales del IPCC, se han realizado campañas sobre el ABC patrimonial:                                             - ABC del Patrimonio: ¿Qué es el Comité Técnico de Patrimonio Histórico y Cultural?                                                         -  ABC del Patrimonio: Elementos a tener en cuenta para la solicitud del concepto previo del Comité Técnico de Patrimonio </t>
  </si>
  <si>
    <t xml:space="preserve">https://www.facebook.com/IpccCartagenadeIndias/posts/5439594309444029 / https://www.facebook.com/IpccCartagenadeIndias/posts/5458917520845041 </t>
  </si>
  <si>
    <t>Durante este trimestre se impulsaron un total de 122 Procesos</t>
  </si>
  <si>
    <t>Se encuentra en proceso contractual el convenio con la Oficina de informatica para el desarrollo informatico del SOFTWARE</t>
  </si>
  <si>
    <t>Convenio suscrito con la UDC, para la realización de este diagnostico.</t>
  </si>
  <si>
    <t>https://drive.google.com/drive/folders/1Hl3B8uB_ZlcgGQ7QvRXBt3FVVRZ3qLko</t>
  </si>
  <si>
    <t>Se suscribio convenio con la UDC, para la realización de estas estrategias.</t>
  </si>
  <si>
    <t>https://docs.google.com/document/d/1uH7Ja6dhwlv5UOrUgaUiHCpp62CiCmNO/edit</t>
  </si>
  <si>
    <t xml:space="preserve">ESTRATEGIA DE COMUNICACIÓN PATRIMONIO
Desarrollo de actividades y campañas pedagógicas en pro de la conservación del Patrimonio Material de la ciudad. Normatividad y acciones adelantadas por la División.
Cubrimiento de acciones y actividades de Patrimonio, y publicación en redes sociales con la etiqueta #ProtejamosElPatrimonio.
Crear alianza con la Escuela Taller Cartagena de Indias, ETCAR, para generar contenido en conjunto a través de cápsulas informativas bajo la etiqueta #ViveElPatrimonio.
Organizar la Ruta del Patrimonio por la Red Distrital de Bibliotecas con la participación de las personas que asisten a los clubes de lectura. El objetivo es trabajar una temática mensual sobre la cual se reflexione, contando con apoyos didácticos como los Kits de Patrimonio de la UNESCO, video conferencias y encuentros presenciales con invitados especiales expertos en temas de Patrimonio.
Recorridos pregrabados que se transmitirán por Facebook Live como falso directo por lugares de la ciudad que son parte importante de nuestro patrimonio. Por ejemplo: los hornos de Barú, fuerte de Bocachica, La Popa, entre muchos otros. El objetivo es poder publicar un video mensual bajo la etiqueta #ConoceTuPatrimonio. 
Diseño de piezas pedagógicas para difundir publicaciones (libros) realizadas por la División de Patrimonio y que contienen información valiosa sobre el patrimonio de la ciudad. </t>
  </si>
  <si>
    <t>Se suscribio convenio con la UDC, para la realización de estas actividades academicas</t>
  </si>
  <si>
    <t>Se encuentra en proceso de construcción las bases de las convocatorias.</t>
  </si>
  <si>
    <t>Se encuentra en ejecución el proceso de construcción del documento del PES FIESTAS DE LA INDEPENDENCIA 11 DE NOV.</t>
  </si>
  <si>
    <t>Se encuentra en ejecución el proceso de construcción del documento del PES ANGELES SOMOS</t>
  </si>
  <si>
    <t>https://drive.google.com/drive/u/8/folders/1jOt_9DDVLZ3lNPgmpOnHDKyJQ1wo96M8</t>
  </si>
  <si>
    <t>https://drive.google.com/drive/folders/1vvl2AIMFdmoyVKXn9HD6HKXQlZmHPM5d  / https://drive.google.com/file/d/1N0CXyGSw-fwLKzLShtXHKGsCKp2MyJIW/view</t>
  </si>
  <si>
    <t>se encuentra en construcción las bases de la convocatoria para la circulación en museos.</t>
  </si>
  <si>
    <t xml:space="preserve">Se genera la planificación de la creación de la imagen de conmemoración de independencia para el 2021, propiciando la realización de una convocatoria para la vinculación de artistas plásticos y visuales, de manera que sea abstraído el concepto que concluirá con la ideación tanto de la imagen promocional de la conmemoración como de una marca para la identificación especifica de las fiestas. A partir de la planificación de la creación de imagen, se organizan las bases de la convocatoria que dará lugar a la presentación de las obras que alimentaran el concepto creativo a fin de que el equipo de comunicaciones logre el desarrollo de la imagen promocional de fiestas de independencia. La gestión para la implementación de la planificación de la Conmemoración de los 488 años de Cartagena estableciendo articulación con la Oficina de Protocolo y Comunicaciones Alcaldía. </t>
  </si>
  <si>
    <t>https://drive.google.com/file/d/1O3wLxj6gfvQPZTGvr2l0jsynVX2WCngt/view</t>
  </si>
  <si>
    <t>https://www.ipcc.gov.co/index.php/component/phocadownload/category/27-convocatoria?download=1030:resolucion-seleccion-circuito-cultural</t>
  </si>
  <si>
    <t>Documento de política pública de la Comisión Filmica</t>
  </si>
  <si>
    <t>"1. https://fb.watch/v/4iIO6g2k_/   
2. https://fb.watch/v/3nk1H5Gzn/ 
3. Ver resolucion de Ganadores https://www.convocatoriasipcc.com/sites/default/files/2021-06/Resolucion%20Seleccio%CC%81n%20SOMOS%20MUSICA%202021-2.pdf.
4. https://community.secop.gov.co/Public/Tendering/OpportunityDetail/Index? noticeUID=CO1.NTC.2026535&amp;isFromPublicArea=True&amp;isModal=False 
5. Ver contrato MC-IPCC-008-2021 en SECOP II
COPIAR Y PEGAR EL VÍNCULO EN LA BARRA DE BÚSQUEDA"</t>
  </si>
  <si>
    <t xml:space="preserve">1. Realización de las puestas en escena de los y las artistas ganadoras de la convocatoria SOMOS DANZA: :MOVIMIENTO, RESISTENCIA Y LIBERTAD, en espacios museales (Museo Historico y Museo Rafael Núñez), en el marco de la conmemoración de los 488 años de Cartagena
2. Desarrollo de puestas en escena de grupos corales de manera virtual a traves de produccion audiovisual realizada en la ETCAR, en el marco de la conmemoración de los 488 años de Cartagena. 
3. Asignación de contratación logistica para desarrollo de concierto de musica en virtud de la conmemoración de los 488 años de Cartagena y la circulacion de artistas en esecnarios culturales de la ciudad.
4. Asignacion de contratación de transmisión televisiva para desarrollo de concierto de musica en virtud de la conmemoración de los 488 años de Cartagena y la circulacion de artistas en esecnarios culturales de la ciudad. </t>
  </si>
  <si>
    <t>Nuevo Plan de reactivación de artistas urbanos: Reactivar de manera biosegura a 100 artistas urbanos entre músicos, bailarines, mimos y estatuas humanas en el centro histórico de Cartagena, luego de un proceso de caracterización de estacionarios y no estacionarios.</t>
  </si>
  <si>
    <t>1. Proceso de formación a artesanos por Artesanias de Colombia en:Gestión y organización capacitación con Artesanías de Colombia para los artesanos de Cartagena y sus corregimientos: Diferencia entre artesanías y manualidad.         2. Gestión y organización proceso de formación con el SENA curso de informática Básica. Manejo de Word, excell y demás herramientas tecnologicas.     3. Gestión y organización taller con la Fundación Cocolab y Espacio Público para los artesanos del Callejón los Zapateros con el fin de evidenciar los cambios que se pueden hacer, que esta por mejorar y como se puede contribuir gestionando recursos para lograr unos buenos espacios de trabajo para ellos.     4. Jornada de capacitación en medidas de bioseguridad   a los raperos y cantantes de hip-hop del Centro Histórico para tenerse en cuenta en el desarrollo de su actividad cultura</t>
  </si>
  <si>
    <r>
      <t xml:space="preserve">Libros y bandas sonoras que han cambiado su vida: </t>
    </r>
    <r>
      <rPr>
        <b/>
        <sz val="12"/>
        <color rgb="FF000000"/>
        <rFont val="Arial"/>
        <family val="2"/>
      </rPr>
      <t>Live en el marco del Día Internacional del Libro con la Biblioteca Raúl Gómez Jattín</t>
    </r>
  </si>
  <si>
    <t>1.Conversatorio Bailes Cantaos “Una herramienta de construcción de memoria colectiva y paz’’ ganador de la Convocatoria Somos Danza.          2. Conversatorio Champeta PES (Ganadores de la Convocatoria Somos Danza).</t>
  </si>
  <si>
    <t>1. Diálogos reflexivos "Cartagena a sus 488 años": (Junio 1).Con la participación de Moisés Álvarez, Director del MUHCA; de Lucy Gómez Vergara, como Directora del el Museo del Oro IPCC; de Javier Alcalá como líder del Museo Yurbaco y Adineth Vargas como Moderadora por parte del IPCC.           2.Panel: De La cosa y Heredia: Cartografía histórica de la colonia / Panelista: Rafael Escallón Miranda. (lunes 21 de Junio).         3.Diálogo Constructivo: 1533: Conquista y Resistencia, una historia para aprender (junio 1), con la participación de Francisco Muñoz Atuesta y Javier Alcalá, la Fundación Cartagena 100%, se sumó a los análisis académicos, logrando alcanzar 196 reproducciones en un diálogo aproximado de 1 hora, 30 minutos, donde contaron cómo fue la llegada de la colonización y la forma en qué los habitantes ancestrales la asumieron.     4.
Conversatorio Herencia Africana en las comunidades negras y raizales de Colombia.</t>
  </si>
  <si>
    <t>1. Conversatorio La herencia africana y la champeta junto al Biblioparque San Francisco.    2.Cantos a Pie Pelao: por la memoria y la tradición.      3.Conversatorio sobre "Danzas Africanas".    4.Clausura del Día Internacional de la Danza.    5.Conversatorio activismo y empoderamiento de las comunidades afrocolombianas.</t>
  </si>
  <si>
    <t>Conversatorio Museos: Cómo reimaginarlos en tiempos de crisis</t>
  </si>
  <si>
    <t>Tertuliando con los coordinadores de la Red Distrital de Bibliotecas RedCrearte</t>
  </si>
  <si>
    <t>Nº DE BENEFICIARIOS  JUNIO 2021</t>
  </si>
  <si>
    <t>Alianza con Invest In Cartagena</t>
  </si>
  <si>
    <t>CONVOCATORIA SOMOS DANZA</t>
  </si>
  <si>
    <t>http://ipcc.gov.co/index.php/gobierno/convocatorias/convocatorias-2020/item/1248-convocatoria-somos-danza-movimiento-resistencia-y-libertad</t>
  </si>
  <si>
    <t>1. CONVOCATORIA  SOMOS CIRCULACIÓN.                            2.SOMOS MUSICA 2021</t>
  </si>
  <si>
    <t>1.CONVOCATORIA SOMOS COLECTIVO.                                             2. CONVOCATORIA SOMOS INDEPENDENDENCIA.</t>
  </si>
  <si>
    <t>1.C. interadministrativo con ETCAR PARA PRIMEROS AUXILIOS DEL TAM N° CI -IPC-001-2021.     2. Contrato para el mantenimiento integral de la biblioteca pilanderas</t>
  </si>
  <si>
    <t>MESAS DE TRABAJO CON MINCULTURA - COLEGIO MAYOR DE BOLIVAR 1. Carta de intención enviada a Col Mayor de Bolivar enviada (08/06/2021) 2. Reunión con MinCultural (17/06/2021) - Representantes de Patirmonio arquitectónico, mueble e inmaterial. Trazado de ruta para apoyo 3. Seguimiento a los procesos de convenio con universidades (28/06/2021) 4. Comunicación con arquitectos a cargo de tesis UTadeo para gestion de información (apoyo de la Arquitecta Claudia Rosales) 5. Gestión reunión arquitecta Margarita Mariño (MinCultura) para revisión proyecto Cementerio Central Bogotá. (29/06/2021) Se cita para primera semana de julio</t>
  </si>
  <si>
    <t>Se encuentra en marcha la suscipción de convenio con la oficina de informatica para la ejecución de esta actividad.</t>
  </si>
  <si>
    <t>Se hizo entrega de insumos de Bioseguridad a las bibliotecas Públicas de la Red Distrital.
Se hizo curso de bioseguridad con los bibliotecarios de la Red Distrital</t>
  </si>
  <si>
    <t>Se incluyo en el cronograma de actividades que estan en el marco del convenio de CERLALC; ya que los bibliotecarios estarán en capacitacion sobre temas de catalogación y se obtendrá como producto una planeación para la elaboración de la catalogación</t>
  </si>
  <si>
    <t xml:space="preserve">1. Capacitación a la red de bibliotecas públicas, beneficiarios del programa de formación del Banco de la República, en los temas:
* Taller de catalogación. Fecha: Miercoles 26/05/2021
*  Visita virtual a la Exposición Hernán Díaz. Fecha: 02/06/2001
*  Taller del ahorro. Fecha: 16/06/2021
*  Servicio de Asociación a la Red de Bibliotecas del Banco de la República. Fecha: 23/06/2021
*  Animación pedagógica del Museo del Oro Zenu "El soplo, el oro y el fuego: técnicas de orfebrería prehispánica", y dirigida a los Bibliotecarios del distrito de Cartagena Visita guiada. Fecha: 07/07/2021
2. Capacitación en Estrategias Didácticas - Clubes de lectura. Fecha: 25/06/2021
3. Capacitación en estrategias pedagógicas  medios audivisuales. </t>
  </si>
  <si>
    <t xml:space="preserve">En la estructuración de la agenda de reactivación se encuentran actividades para la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 De igual manera en el convenio con CERLALC se tienen comtemplados en línea los siguientes temas: 1. Perspectivas sobre nuevos lenguajes 2. Narrativas y las nuevas modalidades de circulación de contenidos literarios 3. Lectura en primera infancia, principios y recomendaciones y buenas prácticas para mediación y formación 4. Lectura y oralidad en espacios no convencionales 5. La oralidad en la mediación cultural </t>
  </si>
  <si>
    <t>Se han realizaron 25 actividades de Clubes de Lectura en las Red de bibliotecas Públicas</t>
  </si>
  <si>
    <t>Se elaboró agenda semestral para la reactivación cultural, artística y academica para el público general y para cualificar los coordinadores y apoyos de la red de bibliotecas públicas.</t>
  </si>
  <si>
    <t>1.El taller, trato temas de diversidad, víctimas del conflicto armado y el orgullo de ser personas LGBTI,  fue un espacio de reflexión en torno a los espacios para entender la intersección de las personas, contó con la presencia de Pedro Roberto Torres Pérez, especialista en Educación y Diversidad de la Corporación Universitaria Rafael Núñez; Carlos Andrés Holguín, director y activista; Leidy Diana Morelo Carmona, diseñadora e integrante del colectivo Sin Género; Eduardo Pastrana Salcedo, activista y promotor en Derechos Humanos y Nathalia Orozco, psicóloga del IPCC. 2.Gestión y organización con el DADIS, jornada de capacitación en medidas de bioseguridad   a los raperos y cantantes de hip-hop del Centro Histórico para tenerse en cuenta en el desarrollo de su actividad cultura.</t>
  </si>
  <si>
    <t>https://docs.google.com/document/d/17W6G866MDztk-aPZX60UewXah0Lqcc0S/edit /https://drive.google.com/drive/u/8/folders/1UVxjVAjrOr74zOXlomz34tcxlu24D7i3. / https://drive.google.com/drive/u/8/folders/1UVxjVAjrOr74zOXlomz34tcxlu24D7i3</t>
  </si>
  <si>
    <t>% avance del indicador de bienestar a 30 de junio de 2020</t>
  </si>
  <si>
    <t>REPORTE META PRODUCTO  SEPTIEMBRE 2021</t>
  </si>
  <si>
    <t>% AVANCE META PRODUCTO A SEPTIEMBRE 2021</t>
  </si>
  <si>
    <t>% AVANCE DEL PROGRAMA A 30 DE SEPTIEMBRE 2021</t>
  </si>
  <si>
    <t>% AVANCE  PLAN DE DESARROLLO A 30 DE SEPTIEMBRE 2021</t>
  </si>
  <si>
    <t>REPORTE DE ACTIVIDADES DEL PROYECTO DESARROLLADAS  SEPTIEMBRE 2021</t>
  </si>
  <si>
    <t>REPORTE INDICADOR DE ACTIVIDADES SEPTIEMBRE 2021</t>
  </si>
  <si>
    <t>Nº DE BENEFICIARIOS SEPTIEMBRE 2021</t>
  </si>
  <si>
    <t>% DE EJECUCION PRESUPUESTAL PROGRAMA SEPTIEMBRE 2021</t>
  </si>
  <si>
    <t>1. Elaboración de circular informativa para el retorno de los servicios presenciales en la infraestructura cultural del IPCC.
2. Distribución y aforo en los planos de cada biblioteca respecto a la medida establecida de un (1) metro de distanciamiento físico en la resolución
777 de 2021, que define el nuevo protocolo de bioseguridad, los días 23 y 27 de julio de 2021.                    3. Capacitación brigadas de emergencia: a través de programa de capacitación en SG SST se llevó a cabo en la biblioteca digital del pie de la popa, la capacitación a un grupo de funcionarios del IPCC, que desarrollan sus actividades en la infraestructura cultural (Red de bibliotecas y TAM), además participaron algunos miembros de grupo GAB que trabajan de la mano con la red de biblioteca(ver adjunto registro de asistencia, evidencias fotográficas y videos)
Los temas tratados fueron los siguientes:
Evacuación
a. Ejercicios de calentamiento y estiramiento
b. Partes de la camilla
c. Manejo de atención de herido
d. Colocación de cuello o aseguramiento de la parte cervical
e. Traslado de paciente en camilla
f. Coordinación de traslado de paciente
g. Primer respondiente
h. Salidas de emergencia
Contraincendios:
a. Partes del extintor
b. Inspección del extintor
c. Tipos de fuego
d. Manejo del extinto
e. Conato de incendio                                           1. Se hizo capacitación Técnicas de relajación y manejo de estrés
Nombre del Facilitador: Estefanía Miranda
Proveedor: Gestión proactiva- ARL POSITIVA
Temas: Técnicas de relajación y manejo de estrés
Día : 10 de septiembre 2021
N° de Participante: 24
A través de programa de capacitación en SG SST se realizó mediante el la 
plataforma Google Meet - Enlace a la video llamada 
https://meet.google.com/ftx-rtya-hje , la capacitación en técnicas de relajación 
y manejo del estrés a un grupo de funcionarios y contratistas del IPCC, que 
desarrollan sus actividades en la oficinas e infraestructura cultural ( Red de 
bibliotecas y TAM (ver adjunto registro de asistencia, evidencias fotográficas y 
videos).
Temas tratados:
1. Características de estilos de estrés
2. Síntomas
3. características del estrés laboral
4. Técnicas de relajación y meditación
2. Capacitación Básica en primeros auxilios Basicos
Nombre del Facilitador: Celly Boscan Palacio
Proveedor: SENA
Temas: Primer respondiente – primeros auxilios básicos
Día : 17, 21, 24 y 26 de septiembre 2021
N° de Participante: 37
Temas de tratados:
1. Quemadura
2. RCP – Reanimación Cardio Pulmonar
3. Fractura, Luxación y Esguince
4. Heridas y Hemorragias
5. Atragantamiento y maniobra de Heimlinch
6. Picaduras y mordeduras
7. Intoxicación
8. Convulsión Y Epilepsia
3. Entrega de insumos de bioseguridad a la biblioteca comunitaria de 
fredonia.
Contenido:
1. Alcohol antiséptico
2. Gel antibacterial
3. Hipoclorito de sodio
4. Jabón liquido
5. Frasco Atomizador 
6. Frasco dispensador
7. Gorros desechables
8. Guantes de caucha
9. Monogafas
10.Mascarillas desechables
11.Cajas de material pedagógico (libros)</t>
  </si>
  <si>
    <t>1. El Centro Regional para el Fomento del Libro en América Latina y el Caribe – Cerlalc-Unesco en el marco del Convenio de Cooperación Internacional ha realizado el curso de básico de catalogación de colecciones bibliográficas con el equipo líder de la Red de Bibliotecas y Centros Culturales del Instituto de Patrimonio y Cultura de Cartagena de Indias.
Hasta el momento se han realizado cuatro módulos con las siguientes temáticas: 
1. Bases para la construcción de una política de desarrollo de colecciones.
2. Fundamentos del proceso de selección y adquisiciones, los diferentes tipos de recursos que puedes encontrar y adquirir.
3. Integración de los recursos que has adquirido para las colecciones de tu biblioteca a través de la catalogación.
4. Métodos para evaluar o valorar la colección de tu biblioteca con miras a determinar cuándo y cómo eliminar o deseleccionar elementos y materiales.
Avance 19 de julio 2021 - 31 de julio 2021                                                                              2.En marco del covenio con CERLALC se realizó el curso   de básico de catalogación de colecciones bibliográficas con el equipo líder de la Red de Bibliotecas y Centros Culturales del Instituto de Patrimonio y Cultura de Cartagena de Indias.
Los modulos vistos en el mes de agosto, fueron: 
1. Selección y adquisiciones
2. Integración de los recursos de información en la biblioteca
3. Evaluación de colecciones                                                                     3.En el convenio marco con CERLALC se certificaron 38 bibliotecarios y apoyos en el curso virtual básico de catalogación de colecciones bibliográficas con una duración de 46 horas. Los diplomas fueron entregados el 17 de septiembre a los beneficiarios a la red. 
4. Fundamento del desarrollo de colecciones</t>
  </si>
  <si>
    <t>https://drive.google.com/drive/u/0/folders/1BbJ7FWF2NdOCD-Dt7-6tq_Hsyhzb4x5b</t>
  </si>
  <si>
    <t>En el marco del convenio con CERLALC se realizaron 5 encuentros locales del17,20,24,27 y 28 de septiembre del 2021. Los temas vistos fueron:
1. Lectura y oralidad en espacios no convencionales
2. Lectura en la primera infancia
3. La Oralidad en la Mediación Cultura
4. Diversidad, inclusión e interculturalidad en las prácticas de Lectura, Escritura y Oralidad
5. Nuevos lenguajes</t>
  </si>
  <si>
    <t>https://drive.google.com/drive/u/0/folders/1scgrI026HzGv8vnsL_BkS0f0C9it9zzp</t>
  </si>
  <si>
    <t>1. Capacitación a la red de bibliotecas públicas, beneficiarios del programa de formación del Banco de la República, en los temas: * Libros, lectura y Bibliotecas en Cartagena. 14-07-2021 * La Paz se toma la palabra. 21-07-2021 * Animales mitológicos en la colección del museo del oro. 28-07-21 2. Capacitaciones para fortalecer la red de bibliotecas en temas de promoción lectora y escritura creativa en alianza con la Corporación CuentaCuento: * Estrategias didácticas. Clubes de Lectura 07-07-21 (25 participantes).   2.1. En alianza con el Banco de la República se capacitó a los coordinadores y apoyos de la Red de bibliotecas públicas en los siguientes   temas:
* El lenguaje del cuerpo ornamentado. El cuerpo como expresión de la cultura 04-08-21
* Talleres entre niños y la paz se toma la palabra 11-08-2021
* Música y objetos sonoros en el pasado prehispánico 18-08-2021
2. Capacitaciones para fortalecer la red de bibliotecas en temas de promoción lectora y escritura creativa en alianza con la Corporación CuentaCuento:
*  Seminario taller: Escritura de cuentos y desarrollo de competencias básicas 05-08-21
3.  Capacitaciones del proyecto CERLALC (Convenio 001 - 2021) a los bibliotecarios y apoyos de la Red de Bibliotecas Públicas:
* 04 de agosto de 2021 - Selección y adquisiciones
* 11 de agosto de 2021 - Integración de los recursos de Información en la biblioteca
* 18 de agosto de 2021 - Evaluación de colecciones.           3.1. En alianza con el Banco de la República se capacitó a los coordinadores y apoyos de la Red de bibliotecas públicas en los siguientes temas:
*Maleta didáctica ventana a la colección de arte 01-09-21
*Capacitación Que hacen esas piezas en la vitrina, museo para niños 08-09-2021
*Capacitación recursos electrónicos 15-09-21
*Capacitación préstamo de maletas didácticas del museo del oro 29-09-21
* 25 de agosto de 2021 - Fundamentos del desarrollo de colecciones</t>
  </si>
  <si>
    <t>https://drive.google.com/drive/u/0/folders/1whfcqeIgmGNgG0OgCqBei-oa0rkCNyaQ</t>
  </si>
  <si>
    <t>Alianza con IBERBIBLIOTECAS se está trabajando la Fase: Diagnóstico Estratégico: Objetivo: interpretar el contexto en el que se maneja la RDB, los factores que puedan incidir positiva y negativamente en ella; y determinar los aspectos internos que potencian o limitan su operación como organización En alianza con el Banco República en el mes de septiembre se trabajó: *Maleta didáctica ventana a la colección de arte 01-09-21 *Capacitación Que hacen esas piezas en la vitrina, museo para niños 08-09-2021 *Capacitación recursos electrónicos 15-09-21 *Capacitación préstamo de maletas didácticas del museo del oro 29-09-21 Secretaria de Educación: Se elaboró oficios para entregar a las instituciones educativas y hacer acercamiento con los directores de cada una de ellas para que los bibliotecarios hagan la trasferencia de conocimientos a los estudiantes de 9,10 y 11 de las I.E</t>
  </si>
  <si>
    <t>https://drive.google.com/drive/folders/1U_ivVga0gdn5gEuy0h_b-6OZpLhj6KXd?hl=es</t>
  </si>
  <si>
    <t>En el marco del convenio que está en curso con la Secretaria de Educación se realizaron las siguientes actividades, como gestión  para avanzar en el cumplimiento de la meta: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Estado: Planeación hizo correcciones a la solicitud de contratación y está en corrección, se espera hacer entrega en el 18 agosto de 2021
1. Reunión el día 28 de julio 2021 en el Centro de la Cooperación Española donde se concluyó: 
-Realizar una alianza entre la cooperación española y el IPCC para beneficiar a los estudiantes de 9, 10 y 11 en mediación de lectura.
-Trabajar con la metodología que tiene el Centro de Cooperación Española  de la siguiente manera:  Realizar un taller con una duración de 4 horas donde se forma al estudiante en lectura en voz alta. Posteriormente, se otorga un espacio de un mes para que el estudiante replique lo aprendido en el taller con otros estudiantes y para ello debe aportar evidencias para el segundo encuentro, se les sugiere que hagan la réplica con niños y niñas de primera infancia  e ir avanzando con niños y niñas de mayor edad. 
-Cada estudiante recibe certificación como mediador de lectura al finalizar el curso. 
2. El 29 de julio 2021, se realizó una reunión con la Secretaría de Educación donde se concluyó:
-La gestión del convenio para aunar esfuerzos entre las partes para realizar procesos de formación de mediadores de lectura con jóvenes de 9º, 10º y 11º de las IE públicas
-Identificación de instituciones educativas para beneficiar a estudiantes de 9,10 y 11.</t>
  </si>
  <si>
    <t>La reactivación de la agenda se inicio a partir del 1 de julio y a corte 30 de Julio se ha ejecutado las siguienes acciones que han contribuido a las actividades para la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  
1. Taller Uso de los archivos audiovisuales 
2. Cine foro para los clubes de lectura 
3. Taller voz Lectora 
4. Taller Escritura creativa para la comunidad infantil «TESORO ESCONDIDO» 
5. Taller de técnicas Mixtas para niños y niñas 
6. Entrenamiento Corporal - Nivel Avanzado 
Para el cumplimiento de esta meta se tiene contemplado en el conveno con CERLALC las siguientes actividades:
1. Perspectivas sobre nuevos lenguajes 
2. Narrativas y las nuevas modalidades de circulación de contenidos literarios 
3. Lectura en primera infancia, principios y recomendaciones y buenas prácticas para mediación y formación 
4. Lectura y oralidad en espacios no convencionales 
5. La oralidad en la mediación cultural
*Se elaboró agenda para beneficiar las mujeres de la cárcel de mujeres.
La agenda contempla actividades de lectura, danza, escritura creativa y manualidades para el aprovechamiento del tiempo libre y como acciones terapéuticas a través  de las artes, las letras y la cultura.                                                                                     La red de bibliotecas realizó 95 actividades de mediación y fomento de la lectura y la escritura</t>
  </si>
  <si>
    <t>https://drive.google.com/drive/folders/1xBQI9AFrHmllOHKRs5oZosUK9-A7aFlL?hl=es</t>
  </si>
  <si>
    <t>Se realizaron 141 actividades de Clubes de Lectura en las Red de bibliotecas Públicas del Distrito de Cartagena</t>
  </si>
  <si>
    <t>https://drive.google.com/drive/u/0/folders/1qaY2oLmmdAs01lCEvfdnmbM_6mGg5_ml</t>
  </si>
  <si>
    <t>La reactivación de la agenda se inició a partir del 1 de julio y en el mes de agosto se han ejecutado las siguientes acciones que han contribuido a las actividades para la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  
1. Taller voz Lectora 
2. Taller la Voz Lectora (Cárcel Distrital de Mujeres)
3. Taller de técnicas Mixtas para niños y niñas 
4. Taller de Dibujo con figuras geométricas para niño y niñas.
5. Taller de Pintura libre para niños y niñas.      6.Taller de Teatro (Cárcel Distrital de Mujeres)
7. Programación reactivación: Inaguración biblioteca para primera infancia en el Colegio Pies Descalzos.
8. Expedición "LEO" Curso de promoción Lectora para coordinadores, apoyos de la Red de Bibliotecas Públicas del Distrito Cartagena de Indias - Convenio CERLALC- IPCC
6. Taller de Escultura para niños y niñas.</t>
  </si>
  <si>
    <t>https://drive.google.com/drive/folders/1RbuJ8_S5DceytG79UMI1Mwb0cUgImNLF?hl=es</t>
  </si>
  <si>
    <t>Las actividades desarrolladas en la Red de Bibliotecas Públicas en la meta de celebraciones, actos conmemorativos fueron: 22 actividades , donde se destacaron las siguientes temáticas:
*Evento celebración aniversario #23 de la Biblioteca Raúl Gómez Jattin - Centro cultural Las Palmeras.
*Conmemoración del 7 de agosto, batalla de Boyacá.
*Conmemoración de Ley 70 de 1993. 
*Conmemoración del 26 de agosto, día de las actrices y actores. 
*Conmemoración del día de los pueblos indígenas.
*Conmemoración del día del adulto mayor.    *Celebración del día del amor y la amistad. (5 celebraciones)
* Conmemoración del 9 de septiembre, día internacional de los derechos humanos. (2 conmemoraciones)
* Conmemoración del 21 de septiembre, día internacional de la Paz. (2 conmemoraciones)
* Conmemoración del 24 de septiembre, día del patrimonio. (1 conmemoración)</t>
  </si>
  <si>
    <t>https://drive.google.com/drive/u/0/folders/12FmXiOj3w3VwlUoTrQv4_UyRwJuVlGNO</t>
  </si>
  <si>
    <t xml:space="preserve">se realizaron 4 actividades:
1.        En la biblioteca Juan Carlos Arango de Bayunca se realizó cine foro sobre el patrimonio cultural.
2.        En el Biblioparque San Francisco se desarrolló un Conversatorio de Cultura Ambiental con los adolescentes de la Institución Educativa Fundación Pies Descalzos, sobre la importancia que tiene el medio ambiente en la comunidad de San Francisco, La María, y los barrio aledaños que hace parte de la falda de La Popa con el objetivo de crear conciencia en los jóvenes sobre el patrimonio que rodea la comunidad. 
3.        La Biblioteca José Vicente Mogollón de Manzanillo del Mar realizó taller de medicina tradicional palenquera.
4.        La Biblioteca Pública de Pontezuela realizó conmemoración del 24 de septiembre, día del patrimonio. </t>
  </si>
  <si>
    <t xml:space="preserve">Se desarrollaron las siguientes actividades: 
-Préstamo de libros
-Lectura al patio
-Taller de manualidades, maleta del museo del oro, rondas y juegos presentación de títeres 
-Actividades de lectura en voz alta.
-Juegos tradicionales como El Puente está quebrado y Arroz con Leche.
-"La biblioteca en tu casa"
-Mediación de lectura pégate al cuento 
La extensión bibliotecaria se realizó en los siguientes lugares: 
- Esmeralda II.
- Centro del adulto mayor.
- Extensión bibliotecaria "La biblioteca en tu casa" en el sector de los cuatro vientos de Boston.
- Punta Canoa, Calle Bella Vista.
- Colegio 14 de febrero
- I.E Tierra Bomba
- Instalaciones de la biblioteca juan Carlos Arango
- Sede Corporacion mar adentro                                                      l mes de agosto por los coordinadores y apoyos de  la red de bibliotecas públicas del Distrito Cartagena de Indias fueron: 19 actividades, con un número de 596 beneficiarios,  donde se destacó: 
1. Préstamo de libros
2. Lectura en voz alta
3. Taller de manualidades 
4. Escritura creativa
5. Actividades con la maleta “Calima”
6. Obra “CON AGUITA Y CON JABON SE VAN LOS VIRUS” 
La extensión bibliotecaria se realizó en los siguientes lugares e instituciones: 
- Fundación sembrando sonrisas.
- San José de los Campanos.
-La boquilla, sector el salitre.
- Corporación Mar Abierto.
- Barrio el reposo.
- Fundación enséñame a creer. 
- I. E Pies descalzos.
- Centro del adulto mayor
- Instalaciones de la biblioteca juan Carlos Arango                        En el mes de septiembre  por los coordinadores y apoyos de  la red de bibliotecas públicas del Distrito Cartagena de Indias fueron: 18 actividades, con un número de 304 beneficiarios,  donde se destacó: 
1. Divulgación artística con la maleta "Ventana a la colección de arte"  
2. Lectura al patio.
3. Actividades de lectura en voz alta.
4. Préstamo de libros. 
La extensión bibliotecaria se realizó en los siguientes lugares e instituciones:
1. Comedor comunitario Celmira Valdez.
2. Sector el Salitre (La boquilla)
3. Barrio el pozón
4. Calle principal del barrio Fredonia
5. Villas de Aranjuez 
6. Centro de Desarrollo Infantil de Ciudad Bicentenario.
7. Manzana 76B Ciudad Bicentenario
8. Institución educativa Pies Descalzos.
9. Institución educativa Bayunca
10. Centro del adulto mayor de Pasacaballos. </t>
  </si>
  <si>
    <t>https://drive.google.com/drive/folders/1PB9yrSryb5gnCOEHZWhjcO9_sXDsRtzm?hl=es</t>
  </si>
  <si>
    <t xml:space="preserve">El Biblioparque San francisco en convenio con secretaria de educación distrital e IPCC realizó extensión de biblioteca en la Institución Educativa Pies Descalzos beneficiando 93 estudiantes.
La biblioteca Juan José Nieto Gil realizó actividad de mediación lectora con estudiantes de 9° de la institución Educativa Rosedal beneficiando 12 estudiantes.
De igual manera se hizo alianzas entre la IPCC, Secretaria de Educación para el desarrollo de talleres de escritura creativa y lectura en voz alta como modalidad para la implementación del programa de mediación lectora para estudiantes de 9, 10 y 11 grado de las siguientes I.E: 
*Institución Educativa Nuestra Señora del Perpetuo Socorro                                
*Institución Educativa Nuestra Señora de la Consolata                                
*Centro Educativo Las Palmeras                                
*Institución Educativa Punta Canoa                                
*INETEB - Institución Educativa Técnica de la Boquilla                                
*Institución Educativa Luis Carlos Galán Sarmiento                                
*Institución Educativa Rosedal de los Colegios Minuto de Dios                                
*GIMDECAR (Gimnasio Moderno de Cartagena)
*Institución educativa Antonia Santos"                                
*Institución Educativa Gabriel García Márquez                                
*Institución Educativa de Fredonia                                
*Instituto Cartagena Del Mar                                
*Institución Educativa de Pontezuela                                
*Institución Educativa Manzanillo del Mar                                
*Institución Educativa de Tierra Baja                                
*Institución Educativa Fundación Pies Descalzos                                
*Institución Educativa de Bayunca                                
"*Institución Educativa José María Córdoba de Pasacaballos
*Institución Educativa Nuestra Señora del Buen Aire de Pasacaballos
*Institución Educativa Técnica de Pasacaballos"        </t>
  </si>
  <si>
    <t>En el mes de septiembre la red de bibliotecas realizó 96 talleres de formación artística y cultural con 1428 beneficiaros en las siguientes modalidades: 
*Danza  (5 actividades con 126 beneficiados)
*Manualidades (39 actividades con 703 beneficiados)
*Artesanías (4 actividades con 33 beneficiados)
*Cine foro (29 actividades con 378 beneficiados)
*Pintura (7 actividades con 82 beneficiados)
*Fotografía (5 actividades con 40 beneficiados)
*Dibujo (5 actividades con 33 beneficiados)
*Títeres (1 actividad con 10 beneficiados)
*Música (1 actividad con 23 beneficiados)</t>
  </si>
  <si>
    <t>https://drive.google.com/drive/folders/1GG0auLSXAg2ftZG_Gf7RTogyjkXhM5lH?hl=es</t>
  </si>
  <si>
    <t>ELABORACION DEL ESTADO DEL A RTE PEMP CEMENTERIOS DE MANGA 1. REUNION EQUIPO TESIS UTADEO 2. REUNION CON AUTORES DE TESIS SOBRE EL CEMENTERIO 3. REUNION CON MINCULTURA- APOYO LOGISTICO 3. REUNION COLEGIO MAYOR - IPCC              1. Socialización convenio prácticas con Col Mayor de Bolívar para observaciones y comentarios. Se recibe sin ajustes (17/08/2021)
2. Seguimiento convenio Universidades - UTB Sin cargar documentos ni firmar -  UTadeo firmado ((27/08/2021)
3. Reunión MinCultura - Plan de Acción - 13/08/2021 - Socialización de requerimientos previos para la formulación del PEMP. Se requiere trabajar con Apoyo Logístico en algunos de los apartados. Desde IPCC se avanzará en algunos de los temas socializados con el apoyo de estudiantes en práctica. 1. Firma convenio Colegio Mayor (03/09/2021)
2. Seguimiento procesos de convenio con Universidades - UTadeo no tiene estudiantes de Arquitectura, solo Comunicaciones. - No funciona para cementerio. - UTB No se ha firmado.
3. Planeación de reunión con equipo Tesis UTadeo - Se planearon dos fechas, las cuales no se cumplieron.
4. Reunión con Decana Arquitectura Colegio Mayor (27/09/2021) para socialización de actividades a desarrollar por parte de los estudiantes. Se seleccionan 9 estudiantes de arquitectura. Se planea reunión para la primera semana de octubre con la supervisora de prácticas y para recorrido de inducción de los estudiantes. 
4. Apoyo al área jurídica para audiencia con respecto al cementerio de Manga. Gestión de evidencias del trabajo adelantado durante 2021</t>
  </si>
  <si>
    <t>https://drive.google.com/drive/folders/1eH9JwoSEo70viEZ1fFeDsgscQDOF0pP8?usp=sharing / https://drive.google.com/drive/folders/1Ce5Sne2tUu04uGJJtTJcWaohPJzeDsu1?usp=sharing</t>
  </si>
  <si>
    <t>CONTRATO OBRAS DE MANTENIMIENTO, INTERVENCION, ADECUACIONES Y REPARACIONES PARA EL MEJORAMIENTO DE LA INFRAESTRUCTURA FISICA DE LOS CENTROS CULTURALES Y BIBLIOTECAS DE LA RED DEL DISTRITO DE CARTAGENA DE INDIAS.
CONTRATO DE LAS OBRAS DE MANTENIMIENTO CORRECTIVOS Y PREVENTIVOS DE REDES ELÉCTRICAS, HIDRÁULICAS Y SANITARIAS Y CARPINTERÍA DE PRIMEROS AUXILIOS POR MAL ESTADO EN EL TEATRO ADOLFO MEJÍA”.     OBRAS DE MANTENIMIENTO, INTERVENCIÓN, ADECUACIONES Y REPARACIONES PARA EL MEJORAMIENTO DE LA INFRAESTRUCTURA FÍSICA DEL CENTRO CULTURAL PILANDERAS DEL BARRIO EL POZON DEL DISTRITO DE CARTAGENA DE INDIAS.            INTERVENTORIA, TECNICA, ADMINISTRATIVA, FINANCIERA, JURIDICA, SOCIAL, AMBIENTAL Y SST AL CONTRATO QUE SUSCRIBA EL INSTITUTO DE PATRIMONIO Y CULTURA DE CARTAGENA COMO RESULTADO DEL PROCESO DE LICITACIÓN PÚBLICA No LP-IPCC-001- 2021, CUYO OBJETO ES “CONTRATAR OBRAS DE MANTENIMIENTO, INTERVENCIÓN, ADECUACIONES Y REPARACIONES PARA EL MEJORAMIENTO DE LA INFRAESTRUCTURA FÍSICA DEL CENTRO CULTURAL PILANDERAS DEL BARRIO EL POZON DEL DISTRITO DE CARTAGENA DE INDIAS</t>
  </si>
  <si>
    <t>https://drive.google.com/drive/u/8/folders/1JNZrVxeUKmCbMKbfd8r1JlcYuBX4E35T</t>
  </si>
  <si>
    <t>CONVOCATORIA ARTE EN MOVIMIENTO</t>
  </si>
  <si>
    <t>1. DIPLOMADO EN GESTIÓN DEL PATRIMONIO CULTURAL 2021.    2. CAPACITACIÓN CON EL SENA A GRUPO DE ARTSANOS EL PRIMER NIVEL DE EXCEL-HERRAMIENTAS OFIMÁTICAS: durante el mes agosto y septiembre.</t>
  </si>
  <si>
    <t>La Reactivación económica de los artistas urbanos del centro histórico de Cartagena es soportada con once (11) folios correspondientes al “Acta de compromiso de artistas urbanos para la preservación del espacio público”, firmadas por los artistas urbanos que figuran en la caracterización de artistas del IPCC, cumpliendo las medidas de bioseguridad El proceso de reactivación ifue iniciado el veinte (20) de agosto de 2021.</t>
  </si>
  <si>
    <t>CONVOCATORIA SOMOS TRADICIÓN FETSIVA</t>
  </si>
  <si>
    <t>Desarrollo de 11 mesas de trabajo con comunidad y actores festivos: Instituciones públicas y privadas, Actores conexos, Niños y adolescentes, JAC, Organizaciones, Sector musical, Cabildos, Lanceros, Oficios tradicionales, Folcloristas, Disfraces.  Desarrollo de 6 mesas de trabajo con comunidad y actores festivos: Gremios y empresarios, Zona insular Pasacaballos, Cocinas tradicionales, Zona insular Bocachica, Dependencias de la Alcaldía y Zona corregimental Boquilla.      Sistematización del documento PES Fiestas, en el apartado de Diagnóstico de riesgos y amenazas, Propuesta de salvaguardia y Constancias de convocatoria, participación y comunicación. Desarrollo de 7 entrevistas a líderes de Fiestas de Independencia.</t>
  </si>
  <si>
    <t>1. Contratación del equipo de trabajo. Alistamiento metodológico y diseño de plan de trabajo para la formulación del PES Ángeles Somos.  - Desarrollo de 13 mesas de trabajo en total. En zona urbana: 1) Adultos mayores Nueva Granada, 2) Adultos Mayores Biblioteca Juan de Dios Amador, 3) Adultos Mayores Megabiblioteca Juan José Nieto, 4) OSC, 5) Adultos mayores Biblioteca Juan de Dios Amador. En zona rural: Arroyo de Piedra, Arroyo Grande, Arroyo Las Canoas, Bayunca, Puerto Rey, Puntacanoa, Tierra Baja, Vereda La Europa. Desarrollo de 13 mesas de trabajo en total. En zona urbana: 1) Adultos mayores Nueva Granada, 2) Adultos Mayores Biblioteca Juan de Dios Amador, 3) Adultos Mayores Megabiblioteca Juan José Nieto, 4) OSC, 5) Adultos mayores Biblioteca Juan de Dios Amador. En zona rural: Arroyo de Piedra, Arroyo Grande, Arroyo Las Canoas, Bayunca, Puerto Rey, Puntacanoa, Tierra Baja, Vereda La Europa.        2.Contratación del equipo de trabajo. Alistamiento metodológico y diseño de plan de trabajo para la formulación del PES Vida de barrio de Getsemaní. Desarrollo de 4 mesas de trabajo con comunidad: 1) Adultos mayores, 2) Jóvenes, 3) Comerciantes y 4) Artesanos.</t>
  </si>
  <si>
    <t>https://drive.google.com/drive/u/8/folders/1xkpZsaZtGuNE8BI-bPR4d1l2Tly17i6S</t>
  </si>
  <si>
    <t>Contratación equipo de trabajo formulación Plan Decenal de Cultura, Política de comunicación cultural y Plan Distrital de Bibliotecas, Lectura y Escritura. Elaboración de plan de trabajo y revisión de insumos técnicos de la Secretaría de Planeacion Distrital. Avances en el diligenciamiento de la ficha de estructuración de política pública correspondiente a la fase de alistamiento del Plan Decenal de Cultura, Política de comunicación cultural y Plan Distrital de Bibliotecas, Lectura y Escritura. Apartados: introducción, marco normativo, descripción del sector e identificación de situaciones problemáticas.</t>
  </si>
  <si>
    <t>https://drive.google.com/drive/u/8/folders/18iQ9WYVzn10i67M_IW3TrFQYVGLWDB2Y</t>
  </si>
  <si>
    <t>DESARROLLO DE DOCUMENTO DE MODERNIZACIÓN INSTITUCIONAL PARA REVISIÓN DEL EQUIPO DE LA ALCALDIA MAYOR</t>
  </si>
  <si>
    <t xml:space="preserve">Inicio de proceso con la UDC para el desarrollo de estartegias y acciones pedagógicas del patrimonio. </t>
  </si>
  <si>
    <t>https://drive.google.com/drive/u/8/folders/1Hl3B8uB_ZlcgGQ7QvRXBt3FVVRZ3qLko</t>
  </si>
  <si>
    <t>Inicio de proceso con la UDC para el desarrollo del diagnostico.</t>
  </si>
  <si>
    <t>Inicio de proceso con la UDC para el desarrollo de esta actividad.</t>
  </si>
  <si>
    <t>FIRMA DE CONVENIO CON EL COLEGIO MAYOR DE BOLIVAR</t>
  </si>
  <si>
    <t>https://drive.google.com/drive/u/8/folders/106I4bvGPBpXYSDoqLT3_etnoVyKPJwio</t>
  </si>
  <si>
    <t xml:space="preserve">18 PROCESOS IMPULSADOS DEL 2021 - </t>
  </si>
  <si>
    <t>PREDIOS INSPECCIONADOS</t>
  </si>
  <si>
    <t>1. PRIMER RALLY DE LA PARTICIPACIÓN JUVENIL
Los jóvenes de comunidades vulnerables de Cartagena con énfasis en Olaya y Nelson Mandela conocen la oferta juvenil que tiene el Distrito a través de las instituciones públicas, tales como: Secretaria de Educación, Ider, IPCC, Escuela Taller y Secretaria de Hacienda, además, también identifican las rutas que existen para que estas ofertas puedan llegar a otros jóvenes de sus comunidades.     2.Se realizo la Semana Andina, como una apuesta interinstitucional en la prevención del embarazo en adolescentes, esta propuesta es una decisión de política de todos los Ministros de Salud de los países de la Subregión Andina, quienes reconocieron hace una década que las consecuencias del embarazo en adolescentes es un problema de Salud Pública Subregional y declararon prioritario construir planes nacionales intersectoriales, participaron 61 jóvenes.</t>
  </si>
  <si>
    <t>CONVOCATORIA SOMOS LANCERAS COMUNITARIAS</t>
  </si>
  <si>
    <t xml:space="preserve">REPORTE ASIGNACION PRESUPUESTAL DEFINITIVA PROGRAMA
</t>
  </si>
  <si>
    <t>DESARROLLO DEL FESTIVAL DE MEMORIA ORAL UNA ESTRATEGIA PARA LA SOSTENIBILIDAD CULTURAL COMO GARANTIA DE PERMANENCIA DE LOS VALORES CULTURALES EN EL DISTRITO DE CARTAGENA DE INDIAS</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</si>
  <si>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</si>
  <si>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</si>
  <si>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</si>
  <si>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</si>
  <si>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</si>
  <si>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NUMERO USUARIOS</t>
  </si>
  <si>
    <t>NUMERO DE PERSONAS</t>
  </si>
  <si>
    <t>UNIDADES DE MEDIDA MGA</t>
  </si>
  <si>
    <t>NUMERO DE MATERIALES DE LECTURA</t>
  </si>
  <si>
    <t>Fortalecimiento de Estímulos para las artes y la cultura en el Distrito de Cartagena de Indias - ET+.</t>
  </si>
  <si>
    <t xml:space="preserve">Fortalecimiento de los procesos de mediación y bibliotecas para La inclusión En El Distrito De Cartagena De Indias - ET+.
</t>
  </si>
  <si>
    <t>número de contenidos culturales</t>
  </si>
  <si>
    <t>número de estimulos</t>
  </si>
  <si>
    <t>Formación y divulgación para las artes y el emprendimiento en el distrito de  Cartagena de Indias - ET+.</t>
  </si>
  <si>
    <t>NÚMERO DE PERSONAS</t>
  </si>
  <si>
    <t xml:space="preserve">NÚMERO DE EVENTOS DE PROMOCIÓN </t>
  </si>
  <si>
    <t>Fortalecimiento y salvaguardia de las practicas significativas del patrimonio inmaterial en el distrito de  Cartagena de Indias- ET+</t>
  </si>
  <si>
    <t>Propiciar el fortalecimiento de la valoración, preservación y significación de las practicas y tradiciones del patrimonio inmaterial en el distrito de cartagena de indias.</t>
  </si>
  <si>
    <t xml:space="preserve">número de procesos de salvaguardia efectiva del patrimonio inmaterial </t>
  </si>
  <si>
    <t>servicio de promoción de actividades culturales</t>
  </si>
  <si>
    <t>número de actividades culturales</t>
  </si>
  <si>
    <t>Formulación de Planes Especiales de Salvaguardia para inclusión de las manifestaciones culturales en el Distrito de Cartagena de Indias - ET+.</t>
  </si>
  <si>
    <t>NÚMERO DE PROCESOS DE SALVAGIARDIA EFECTIVA DEL PATRIMONIO INMATERIAL</t>
  </si>
  <si>
    <t>Mejorar la orientación y dirección para la salvaguardia de las manifestaciones y expresiones culturales en el Distrito de Cartagena de Indias.</t>
  </si>
  <si>
    <t>Fortalecimiento, salvaguarda, valoración, ciudado y control del patrimonio material en el distrito de Cartagena de Indias.</t>
  </si>
  <si>
    <t>DOCUMENTOS NORMATIVOS</t>
  </si>
  <si>
    <t>DOCUMENTOS DE LINEMIENTOS TECNICOS</t>
  </si>
  <si>
    <t>NÚMEROS DE DOCUMENTOS</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</si>
  <si>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</si>
  <si>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</si>
  <si>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Fortalecer la protección, salvaguarda y difusión del patrimonio cultural material y su apropiación social para consolidar la identidad y memoria patrimonial material en el distrito de cartagena de indias.</t>
  </si>
  <si>
    <t>Fomentar la protección, apropiación social y divulgación del patrimonio cultural, material e inmaterial, incluyendo el paisaje costero cultural, fortaleciendo la identidad, la inclusión y la memoria en el distrito de cartagena de indias.</t>
  </si>
  <si>
    <t>número de publicaciones</t>
  </si>
  <si>
    <t>número de asistencias tecnicas</t>
  </si>
  <si>
    <t>Protección y garantía de los derechos culturales en el distrito de  Cartagena de Indias -ET+.</t>
  </si>
  <si>
    <t>Fortalecer el Sistema distrital de cultura de Cartagena- SDC, y las instancias de participación del sector cultural, mediante la formulación de políticas de gestión cultural para el desarrollo de las áreas artísticas, culturales y patrimoniales</t>
  </si>
  <si>
    <t>NÍMERO DE DOCUMENTOS</t>
  </si>
  <si>
    <t>SERVICIOS DE EDUCACIÓN INFORMAL PARA LA GESTIÓN ADMINISTRATIVA</t>
  </si>
  <si>
    <t>Mejorar  los instrumentos administativos y realizar la  Modernizacion del Instituto de Patrimonio y Cultura de Cartagena de Indias-IPCC</t>
  </si>
  <si>
    <t>NÚMERO DE DOCUMENTOS</t>
  </si>
  <si>
    <t>Mantenimiento de la infraestructura cultural para la inclusión en el distrito de  Cartagena de Indias -ET+.</t>
  </si>
  <si>
    <t>NÚMERO DE INFRAESTRUCTURAS CULTURALES</t>
  </si>
  <si>
    <t>NÚMERO DE BIBLIOTECAS</t>
  </si>
  <si>
    <t>Aumentar la participación de grupos étnicos-culturales en festivales y actividades culturales y artísticas en el distrito de Cartagena de indias.</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</si>
  <si>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</si>
  <si>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</si>
  <si>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INVESTIGACIÓN Y DIVULGACIÓN CULTURAL SOBRE EL IMPACTO DE LA CORRUPCIÓN EN EL MARCO DEL PREMIO JORGE PIEDRAHITA ADUEN EN EL DISTRITO DE CARTAGENA DE INDIAS.</t>
  </si>
  <si>
    <t>número de documentos</t>
  </si>
  <si>
    <t>documentos de investigación</t>
  </si>
  <si>
    <t xml:space="preserve">Arte en movimiento </t>
  </si>
  <si>
    <t>el 1</t>
  </si>
  <si>
    <t>REPORTE DE ACTIVIDADES DEL PROYECTO DESARROLLADAS  DICIEMBRE 2021</t>
  </si>
  <si>
    <t>REPORTE INDICADOR DE ACTIVIDADES DICIIEMBRE 2021</t>
  </si>
  <si>
    <t>https://drive.google.com/drive/u/8/folders/1jTQCwdj4ejOPIhtfkcO7gsm1IkQKBR16</t>
  </si>
  <si>
    <t>1. Proceso de formación con Universidad de los Andes PC-ESAL-IPCC-005-2021</t>
  </si>
  <si>
    <t>https://drive.google.com/drive/u/8/folders/1fF6oNH2WWVGVtlzKTYB9n9-6RX4liGE5</t>
  </si>
  <si>
    <t>1. Proceso de formación profesional - UNIBAC. CI-IPCC-009-2021.   2.CONVENIO INTERADMINISTRATIVO NO. CI-IPCC-004-2021, CELEBRADO ENTRE LA ASOCIACION
ESCUELA TALLER NARANJA Y EL INSTITUTO DE PATRIMONIO Y CULTURA DE CARTAGENA - Componente No 3: Fortalecimiento por medio de Coursera.</t>
  </si>
  <si>
    <t xml:space="preserve">1. Proceso de formación con Universidad de los Andes PC-ESAL-IPCC-005-2021.  2. CONVENIO INTERADMINISTRATIVO NO. CI-IPCC-007-2021, Cuyo obj“AUNAR ESFUERZOS TÉCNICOS, ADMINISTRATIVOS, HUMANOS Y FINANCIEROS PARA LA
FORMACIÓN ARTÍSTICA DE NIÑOS, NIÑAS, ADOLESCENTES, PADRES DE FAMILIA, DOCENTES, ARTISTAS Y
GESTORES CULTURALES DE POBLACIONES VULNERABLES DE CARTAGENA, COMO ESPACIO DE INCLUSIÓN,
RESPETO A LA DIVERSIDAD Y CONSTRUCCIÓN DE PAZ”.eto es: </t>
  </si>
  <si>
    <t>https://drive.google.com/drive/folders/1Hl3B8uB_ZlcgGQ7QvRXBt3FVVRZ3qLko.           https://drive.google.com/drive/u/8/folders/1tv6cqMGq5jNRlCrkGUYEHdhQbgpd3noT</t>
  </si>
  <si>
    <t>https://drive.google.com/drive/u/8/folders/1fF6oNH2WWVGVtlzKTYB9n9-6RX4liGE5.        https://drive.google.com/drive/u/8/folders/1kBgINPtelBd0sHAa0nAqVrnVGJ_A8ZSD</t>
  </si>
  <si>
    <t>2.CONVENIO INTERADMINISTRATIVO NO. CI-IPCC-004-2021, CELEBRADO ENTRE LA ASOCIACION
ESCUELA TALLER NARANJA Y EL INSTITUTO DE PATRIMONIO Y CULTURA DE CARTAGENA. Componente
No 4: Ruta de emprendimiento. Este componente tiene el objetivo de Fortalecer mediante una ruta de emprendimiento a 45
emprendedores del sector de las industrias creativas mediante formaciones y capital semilla.</t>
  </si>
  <si>
    <t>1. Proceso de formación de artistas y gestores culturales en derechos humanos de las mujer - PC-ESAL-IPCC-004-2021, cuyo objeto es: AUNAR ESFUERZOS TÉCNICOS, ADMINISTRATIVOS, HUMANOS Y FINANCIEROS
PARA LA FORMACIÓN DE ARTISTAS Y GESTORES CULTURALES DE LA CIUDAD DE
CARTAGENA EN DERECHOS HUMANOS DE LAS MUJERES.</t>
  </si>
  <si>
    <t>https://drive.google.com/drive/u/8/folders/1cx6vZRoraGJ_po9JuIYQ8zgU9wJ7hYHX</t>
  </si>
  <si>
    <t>1. “#LABIXCARTAGENA: LABORATORIO DE INNOVACIÓN CIUDADANA
LOCAL. EMPRENDIMIENTO CULTURAL EN LA ERA POST COVID”. CONVENIO INTERADMINISTRATIVO NO. CI-IPCC-011-2021, Cuyo objeto es: “AUNAR
ESFUERZOS TÉCNICOS, ADMINISTRATIVOS, HUMANOS Y FINANCIEROS ENTRE EL INSTITUTO DE PATRIMONIO Y
CULTURA DE CARTAGENA Y EL FONDO MIXTO DE PROMOCIÓN DE LA CULTURA Y LAS ARTES DE CARTAGENA,
PARA EL DESARROLLO DE “#LABIXCARTAGENA: LABORATORIO DE INNOVACIÓN CIUDADANA LOCAL.
EMPRENDIMIENTO CULTURAL EN LA ERA POST COVID”.</t>
  </si>
  <si>
    <t>https://drive.google.com/drive/u/8/folders/1L8WZltXwnbieC8bReyq75ryoj8TOCG4E</t>
  </si>
  <si>
    <t>2.CONVENIO INTERADMINISTRATIVO NO. CI-IPCC-004-2021, CELEBRADO ENTRE LA ASOCIACION
ESCUELA TALLER NARANJA Y EL INSTITUTO DE PATRIMONIO Y CULTURA DE CARTAGENA. Componente No 5: Visibilización mediante eventos para la circulación cultural. Este componente tiene
el objetivo de visibilizar mediante 3 eventos de circulación, las industrias creativas locales (2) y los contenidos culturales
diversos e inclusivos (1).</t>
  </si>
  <si>
    <t>https://drive.google.com/drive/u/8/folders/1n4p0TCUzcQIVDGVw4VumpCQAIvOAVU6o. https://drive.google.com/drive/u/8/folders/1n4p0TCUzcQIVDGVw4VumpCQAIvOAVU6o</t>
  </si>
  <si>
    <t>CONVOCATORIA IMPULSO 2021</t>
  </si>
  <si>
    <t xml:space="preserve">iberbibliotecas documento ntregado final Plan estrategico RDB - PLAN ESTRATEGICO DE COMUNICACIONES </t>
  </si>
  <si>
    <t>1. Conversatorio: Origen y resignificación de los Cabildos en la celebración de las Fiestas de Independencia de Cartagena – 30 de octubre.    2. Conversatorio: Teatro y disfraces en la celebración de las Fiestas de Independencia – 6 de noviembre.    3. Conversatorio Danzas Tradicionales en las Fiestas de Independencia – 17 de noviembre.         4.Conversatorio Música Festiva en la celebración de las Fiestas de Independencia – 20 de noviembre.       5.Conversatorio Reinado Popular y Fiestas de la Independencia – 24 de noviembre.          6.Conversatorio Cabildos Negros de Cartagena, San Diego, Pekín, Boquetillo y Pueblo Nuevo, Espacios de rituales litúrgicos y de Cumbia – 15 de noviembre</t>
  </si>
  <si>
    <t>Apoyar el desarrollo de una experiencia cultural turística sostenible en el barrio El Espinal. - Mediante Convenio suscrito con la SMP CD-IPCC-001-2021.</t>
  </si>
  <si>
    <t>https://drive.google.com/drive/u/8/folders/1P_-eoY7aaJl-1yZ-2FwWpT5hTWCrr_bw</t>
  </si>
  <si>
    <t>Agenda de conmemoración festiva de los 210 años de la independencia, así: 1. PRELUDIO CONMEMORATIVO / LOCALIDAD 1, 2 Y 3 (Octubre 29).  2.ENCUENTRO PEDAGÓGICO CON NIÑOS Y NIÑAS EN ÁNGELES SOMOS.(1 de Noviembre). 3.MEMORIAS FESTIVAS - RUTA DE LA INDEPENDENCIA (10 de noviembre). 4.CONMEMORACIÓN DE LA INDEPENDENCIA (11 de noviembre). 5.SALSA A LA PLAZA 13 de noviembre de 2021.6.REINADO POPULAR DE LAS FIESTAS DE LA INDEPENDENCIA.</t>
  </si>
  <si>
    <t>Se ejecuto la convocatoria de Somos Ciruito 2021:RESULTADO: 7 FESTIVALES ARTISTICOS Y 3 EVENTOS DE TEATRO , EN TOTAL 10 ORGANIZACIONES CULTURALES PARTICIPANTES  170 MILLONES DE PESOS ENTREGADOS.</t>
  </si>
  <si>
    <t>Realización de festival del pastel 2021</t>
  </si>
  <si>
    <t>"CONVENIO INTERADMINISTRATIVO NO. CI-IPCC-004-2021, CELEBRADO ENTRE LA ASOCIACION
ESCUELA TALLER NARANJA Y EL INSTITUTO DE PATRIMONIO Y CULTURA DE CARTAGENA.Componente No 2: Caracterización, diagnóstico y
visibilización de las fiestas y festejos locales.
emprendedores del sector de las industrias creativas mediante formaciones y capital semilla."</t>
  </si>
  <si>
    <t>CONVENIO INTERADMINISTRATIVO NO. CI-IPCC-004-2021, CELEBRADO ENTRE LA ASOCIACION
ESCUELA TALLER NARANJA Y EL INSTITUTO DE PATRIMONIO Y CULTURA DE CARTAGENA Componente No 1: Identificación y potencialización de la
cadena de valor artesanal- Este componente tiene el objetivo de identificar y potenciar la cadena de valor artesanal del
Distrito Turístico y Cultural de Cartagena de Indias y sus 15 corregimientos. Para su desarrollo estará dividido en 4 etapas
principales: Identificación, Formación, Curaduría y Comercialización, las cuales tendrán actividades y productos asociados.
Etapa 1: Identificación. Etapa 2: Formación. Etapa 3: Curaduría. Etapa 4: Comercialización. Productos finales del componente</t>
  </si>
  <si>
    <t>"- Elaboración de fichas de registro fotográfico de los mausoleos más importantes y de las bóvedas perimetrales
- Diseño de fichas de calificación
- Registro fotográfico y de video con Drone (apoyo de equipo de comunicaciones)"</t>
  </si>
  <si>
    <t>Dentro de la convocatoria IMPULSO 2021, se otorgaron estimulos para desarrollar alianzas con museos de la ciudad.</t>
  </si>
  <si>
    <t>1. Celebración del día Internacional de la Danza: RESULTADO: 7 GRUPOS DE ARTISTAS FOLCLORICOS CIRCULAN EN EL MUSEO RAFAEL NUÑEZ Y EN EL MUSEO HISTORICO. 4 GRUPOS, CIRCULAN EN CASAS DE LA CULTUTURA Y BIBLIOTECAS REALIZANDO TALLERES SOBRE DANZA.                                   2.EXPOSICIÓN SOMOS INDEPENDENCIA, se da como resultado del proceso de “¡Creación de imagen para la conmemoración de los 210 años de independencia!” dado en el marco de la CONVOCATORIA SOMOS INDPENDENCIA, vincualda a la línea de creación e inherente al programa “Patrimonio inmaterial: Prácticas significativas para la memoria.  *RESULTADO: 15 ARTISTAS PLASTICOS CIRCULAN SU CREACION EN EL MUSEO HISTORICO DE CARTAGENA Y EN LA BIBLIOTECA DIGITAL DEL PIE DE LA POPA .      3.Dentro de la convocatoria IMPULSO 2021, se otorgaron tres estimulos a los museos de la ciudad para el desarrollo de  procesos de circulación de artistas.</t>
  </si>
  <si>
    <t>Se suscribio Convenio con el MUHCA, el cual ejecuta las siguientes actividades: 
- Tres conversatorios
- Talleres de apropiación de la colección del MUHCA
- Talleres, asesoría técnica y exposición itinerante a proyecto ganador de IMPULSA
- Documentación fotográfica de la colección del MUHCA
- Jornadas de mantenimiento para la colección del MUHCA"</t>
  </si>
  <si>
    <t>"
Conversatorios: 
Talleres: 140 personas
Proyecto IMPULSA:
Mantenimiento de la colección: Visitantes del museo"</t>
  </si>
  <si>
    <t>https://docs.google.com/spreadsheets/d/1ZgAYeGjJe2SE_pKYBdK4ZzU1lB0u1Cu7aouF4nJpXeA/edit#gid=0</t>
  </si>
  <si>
    <t>https://drive.google.com/drive/folders/1Hl3B8uB_ZlcgGQ7QvRXBt3FVVRZ3qLko.     https://drive.google.com/drive/u/8/folders/1P_-eoY7aaJl-1yZ-2FwWpT5hTWCrr_bw</t>
  </si>
  <si>
    <t>En el marco del convenio suscrito con la SMP CD-IPCC-001-2021, se realizo Campaña de difusión para la apropiación de las normas para la protección del
patrimonio material de Cartagena</t>
  </si>
  <si>
    <t>"- Seminario en el marco del encuentro ICOFORT, con 8 conferencistas
- Conversatorio ""Patrimonio arquitectónico militar: historia, gestión y desafíos"""</t>
  </si>
  <si>
    <t>"Beneficiarios totales Contrato UdC:
15 hacedores de oficios
8 directores de museos
5 representantes de gremios
5 docentes de educación superior
3652 espectadores 
443 artustas
60 estudantes de diplomado (de ellos, 20 sujetos de especial protección y 5 adultos mayores de 60 años) "</t>
  </si>
  <si>
    <t>1. CONVOCATORIA DE PATIOS Y FACHADAS.      2. Dentro de la convocatoria IMPULSO 2021, se otorgo una linea sobre emergencia climatica y su afectación en el patrimonio material.</t>
  </si>
  <si>
    <t xml:space="preserve">Documento final entregado: Diagnóstico de Educación Patrimonial - a partir de indagación documental, mesas de trabajo con diferentes sectores como Red de Museos, Profesores de colegio, etc. </t>
  </si>
  <si>
    <t>Proyecto Turismo Comunitario en Caño del Oro</t>
  </si>
  <si>
    <t>"DIRECTA: 30 HOMBRES Y MUJERES JÓVENES DE LA COMUNIDAD (6 GRUPOS) . 
25 ESTUDIANTES DE LOS CURSOS (5 GRUPOS) 8 A 11 DE LA INSTITUCIÓN EDUCATIVA SON JOSÉ DE CAÑO DEL ORO."</t>
  </si>
  <si>
    <t>1. "Convenio Secretaría General - Oficina Asesora de Informática. "Desarrollo del software - Fase I (Fase II para primer trimestre de 2022)
Definición de alcances técnicos y requerimientos. 
Donación por parte del gobierno de Japón de la Fase I (software)"                                                              2.Proyecto Smart Heritage City Cartagena"</t>
  </si>
  <si>
    <t>1. En el marco de la suscripción del convenio con la SMP  se realizo la Elaboración de inventario de 20 inmuebles en deterioro.         2.Convenio con UTADEO,para apoyo de pracantes en los procesos relacionados con el patrimonio material.</t>
  </si>
  <si>
    <t xml:space="preserve">
Elaboración e impresión de Cartilla sobre las Normas de protección del patrimonio material
Divulgación (3 eventos)"</t>
  </si>
  <si>
    <t>Se suscribio convenio CI-IPCC-010-2021,para la realización del festival de la memoria oral 2021. un evento enfocado a identificar y resaltar manifestaciones culturales
asociadas a la tradición oral en la zona rural e insular de Cartagena de Indias, a través de la puesta en escena de
muestras culturales de esas manifestaciones en sus distintas modalidades, y de la realización de actividades
pedagógicas alusivas a ellas.
Las modalidades de las cuales se nutrirá la agenda del festival serán: cuentería, teatro, monólogos, música, danza y
gastronomía.
 Muestras culturales de la Fundación Cutural Afro Caribe de Bocachica
 Muestras culturales de narración oral a cargo de grupos tradicionales y de trayectoria en esta materia
 Muestras culturales de grupos folclóricos de música y danza
 Muestra cultural con tambores y cantadoras –
 Muestra cultural de decimeros
 Expresiones de Colonias de los Montes de María radicados en Cartagena con tradición (cantantes,
decimeros, cantos de vaquería, juglares)
 Relatos de Mitos y leyendas
 Muestra de preparaciones típicas basadas en la gastronomía ancestral tanto de la provincia como de las
áreas corregimentales y de la zona insular del distrito de Cartagena.</t>
  </si>
  <si>
    <t>En el marco del  convenio suscrito para el desarrollo del festival de la memoria oral se desarrollo la puesta en escena de al menos 15 obras, donde se espera contar con la participación y
presentación de 15 grupos artísticos, entre grupos folclóricos, grupos musicales, grupos de teatro, artistas cantantes y
más de 50 invitados portadores/as de tradición.</t>
  </si>
  <si>
    <t>"Vacunaton cultural 23 de noviembre de 2021
Biblioteca distrital Jorge Artel
Horario: 9:00 a.m. – 3:00 p.m.
Biológicos aplicados:
SINOVAC : 42 (primeras y segundas dosis)
MODERNA: 56 ( primeras, segundas y terceras dosis)
ASTRAZENECA: 70 ( primeras, segundas y terceras dosis)
Total biológicos aplicados: 168 dosis
Entidades de apoyo: DADIS e IPS SOMEDYT
Vacunaton cultural 29 de noviembre de 2021
Biblioteca distrital Juan de Dios Amador Boston
Horario: 9:00 a.m. – 3:00 p.m.
Biológicos aplicados:
SINOVAC : 74 (primeras y segundas dosis)
MODERNA: 70 ( primeras, segundas y terceras dosis)
ASTRAZENECA: 32 ( primeras, segundas y terceras dosis)
JANSSEN: 30 (primeras dosis)
Total biológicos aplicados: 206
Entidades de apoyo: DADIS e IPS SOMEDYT
Vacunaton cultural 30 de noviembre de 2021
Biblioteca distrital Bicentenario
Horario: 9:00 a.m. – 3:00 p.m.
Biológicos aplicados:
SINOVAC : 86 (primeras y segundas dosis)
MODERNA: 84 ( primeras, segundas y terceras dosis)
ASTRAZENECA: 32 ( primeras, segundas y terceras dosis)
Total biológicos aplicados: 202 dosis
Entidades de apoyo: DADIS e IPS SOMEDYT
Total población atendida en la programación 23. 29 y 30 de
noviembre 2021: 576 personas"</t>
  </si>
  <si>
    <t>Se realizó la certificación del curso de catalogación a 38 beneficarios de las bibliotecas Públicas por parte del convenio de CERLALC. 
El curso se título: Curso virtual básico de catalgoación de coleccione bibliográficas con una duración de 46 horas.</t>
  </si>
  <si>
    <t xml:space="preserve">"1. En alianza con el Banco de la República se capacitó a los coordinadores y apoyos de la Red de bibliotecas públicas en los siguientes temas:
*El paisaje, la gente y el oro en la Colombia Prehispánica 06-10-2021
*Maletas didácticas taller del ahorro 13-10-2021
*Retroalimentación - Reunión final 20-10-2021.   "Se hizo planeación en el marco del convenio con CERLAC del encuentro de bibliotecarios teniendo en cuenta la siguiente programación:
PRIMER DÍA - 16 DE DICIEMBRE 
8:00 a.m. - 8:15 a.m. Apertura y presentación del tercer encuentro de bibliotecas públicas de Cartagena. 
8:15 a.m. - 9:45 a.m. Conferencia inaugural. Aprendizaje a lo largo y ancho de la vida - Autodidactas en las bibliotecas.
9:45 a.m. - 10:45 a.m. Leer a los otros. Bibliotecas Humanas.
11:15 a.m. - 12:15 m Taller virtual dirigido a los bibliotecarios públicos de Cartagena.
SEGUNDO DÍA - 17 DE DICIEMBRE
8:00 a.m. - 9:30 a.m. Aprendizaje a lo largo y ancho de la vida - Aprender no tiene edad: educación de adultos y modelos flexibles de aprendizaje.
10:00: a.m. - 11:00 a.m. Mesa de experiencia
</t>
  </si>
  <si>
    <t>"Se hizo planeación en el marco del convenio con CERLAC del encuentro de bibliotecarios teniendo en cuenta la siguiente programación:
PRIMER DÍA - 16 DE DICIEMBRE 
8:00 a.m. - 8:15 a.m. Apertura y presentación del tercer encuentro de bibliotecas públicas de Cartagena. 
8:15 a.m. - 9:45 a.m. Conferencia inaugural. Aprendizaje a lo largo y ancho de la vida - Autodidactas en las bibliotecas.
9:45 a.m. - 10:45 a.m. Leer a los otros. Bibliotecas Humanas.
11:15 a.m. - 12:15 m Taller virtual dirigido a los bibliotecarios públicos de Cartagena.
SEGUNDO DÍA - 17 DE DICIEMBRE
8:00 a.m. - 9:30 a.m. Aprendizaje a lo largo y ancho de la vida - Aprender no tiene edad: educación de adultos y modelos flexibles de aprendizaje.
10:00: a.m. - 11:00 a.m. Mesa de experiencias</t>
  </si>
  <si>
    <t>"Se hizo caracterización de publico de la red de bibliotecas públicas en el marco del convenio con Iberbibliotecas, donde se rescata:
1. Generalidades de la red distrital de bibliotecas públicas.
2. Características administrativas de las bibliotecas públicas de la red
3. Características de infraestructura
4. Características de Talento Humano
5. Características de dotación bilbiográfica y documental
6. Caracterización de los recursos tecnológicos, dotación TIC y condiciones de conectividad
7. Características de la prestación del servicio
8. Caracaterísticas de promoción lectora"</t>
  </si>
  <si>
    <t>"En el marco del convenio con CERLALC e IPCC se realizó el curso virtual Expedición Leo, herramientas para la promoción de lectura, desde el 16 de septiembre al 25 de octubre con una duración de 46 horas. 
El curso se desarrolló en 4 módulos. 
Módulo No. 1 El mediador como lector y como explorador.
Módulo No. 2 Lectura, escritura y oralidad como prácticas cognitivas, sociales y culturales.
Módulo No. 3 Materiales, herramientas y nuevas posibilidades para el fomento de la lectura, la escritura y la oralidad.
Módulo No. 4 Planeación, ejecución y seguimiento de una actividad de animación y/o promoción de lectura.
También se realizaron los talleres virtuales: fundamentos del derecho de autor los días 8,15 y 22 de octubre del 2021 en 3 sesiones:
8 de octubre de 2021 “sesión 1: Horizontes creativos”
15 de octubre de 2021 “Sesión 2. Nociones generales de derecho de autor”
22 de octubre de 2021 “Sesión 3. Creación colectiva, multimedia y transmedia” 
En el marco del convenio con IBERBIBLIOTECAS se está trabajando la Fase 5. 
FASE 5: Formulación Estratégica:
Objetivo: Construir el Plan Estratégico de la RDB, identificando claramente los objetivos estratégicos y el
portafolio de iniciativas estratégicas (Mapa Estratégico y el Portafolio Estratégico).
En alianza con el Banco de la República se capacitó a los coordinadores y apoyos de la Red de bibliotecas públicas en los siguientes temas:
*El paisaje, la gente y el oro en la Colombia Prehispánica 06-10-2021
*Maletas didácticas taller del ahorro 13-10-2021
*Retroalimentación - Reunión final 20-10-2021
Los bibliotecarios realizaron un acercamiento con los directores de cada una de las instituciones educativas y entregaron los oficios elaborados en alianza con la Secretaria de Educación para iniciar el proceso de formación con los estudiantes de 9,10 y 11.
"</t>
  </si>
  <si>
    <t xml:space="preserve"> Se iniciaron actividades de mediación lectora como parte de su servicio social con los estudiantes de las siguientes instituciones educativas:
-Institución educativa Nuestra Señora de la Consolata (Biblioteca Jorge Artel)
-Institución educativa de Pontezuela (Biblioteca Pública de Pontezuela)
-Gimnasio Moderno de Cartagena (Megabiblioteca Pie de la Popa)
-Instituto Anglo Americano de Cartagena (Biblioteca Caimán).                      "La siguientes bibliotecas públicas han realizado actividades de mediación lectora utilizando la técnica de escritura creativa con los estudiantes de 9, 10 y 11 de estas instituciones Instituciones educativas: 
-Biblioteca Jesús Aguilar Núñez con estudiantes de la Institución Educativa Arroyo de Piedra sede Punta Canoa
-Biblioteca Jorge Artel con estudiantes de la Institución Educativa Nuestra Señora de la Consolata.
-Biblioteca José Vicente Mogollón – manzanillo del mar con estudiantes de la Institución Educativa Manzanillo del Mar.
-Biblioteca Juan de Dios Amador con estudiantes de la Institución Educativa Nuestra Señora del Perpetuo Socorro.
-Biblioteca pública de Pontezuela con estudiantes del grado 9º de la Institución Educativa de Pontezuela.
-Megabiblioteca Juan José Nieto con estudiantes de la Institución Educativa Rosedal.
-Megabiblioteca Pie de la Popa con estudiantes de la Institución GIMDECAR
"
-Colegio Luis Carlos Galán (Biblioteca Las Pilanderas)</t>
  </si>
  <si>
    <t>La red de bibliotecas realizó 259 actividades de mediación y fomento de la lectura y la escritura donde se beneficiaron los usuarios entre niños, niñas, jóvenes y adultos.</t>
  </si>
  <si>
    <t>Se han realizado 227 actividades de Clubes de Lectura en las Red de bibliotecas Públicas del Distrito de Cartagena de Indias con un número total de 1084 beneficiarios</t>
  </si>
  <si>
    <t>"1. En el marco del proyecto Cuerpo Con(s)ciencia se han ejecutado las siguientes actividades. 
*Conferencia Inaugural de Inducción
*Taller Prácticas Corporales (Danza)
*Taller Lenguajes del Arte.
*Taller de Fotografía. Tema: Inclusión y Respeto a la Diversidad.
*Taller de Literatura / Escritura. Tema: Construcción de Paz.
*Conferencias. Tema: “Construcción de Paz”, “Inclusión y Respeto a la Diversidad” y “Prácticas de Bioseguridad”.
2. En el marco del convenio interadministrativo entre el IPCC y la UNIBAC en el mes de noviembre se realizaron los talleres de formación artística y cultural instruyendo niños, niñas y jóvenes para el futuro en las siguientes bibliotecas.
-Biblioteca pública de Tierra Baja.
-Biblioteca Ciudad Bicentenario.
-Biblioteca Las Pilanderas
-Biblioparque San Francisco
-Biblioteca Raúl Gómez Jattin.
-Biblioteca pública de Fredonia. 
-Biblioteca Caimán.
-Megabiblioteca Juan José Nieto
-Biblioteca Distrital Jorge Artel
-Biblioteca Juan de Dios Amador
"</t>
  </si>
  <si>
    <t xml:space="preserve">Las actividades desarrolladas en la Red de Bibliotecas Públicas en la meta de celebraciones, actos conmemorativos fueron: 50 actividades </t>
  </si>
  <si>
    <t>1. . El 12 de octubre se hizo socialización de lecturas en la Conmemoración de los 210 años de las Fiestas de la Independencia con los coordinadores y apoyos de la Red de Bibliotecas Públicas de Cartagena de Indias a cargo de la historiadora Mabel Vergel. 
2. El 27 de octubre se llevó a cabo capacitación sobre hechos históricos, símbolos y tradiciones festivas del 11 de noviembre, en el marco de la conmemoración de los 210 años de independencia de Cartagena a cargo de la historiadora Mabel Vergel (Cárcel Distrital de Mujeres).
3. Se realizó el tercer encuentro del Plan lector con los coordinadores y apoyos de la Red Distrital de Cartagena de Indias, donde se compartió la lectura “La Casa tomada y la Caída de la Casa Usher".1. Capacitación sobre Angeles somos
2. Conmemoración del 11 de Noviembre en las bibliotecas 
3. Conversatorio con los niños y niñas sobre patrimonio inmaterial y Fiestas de la Independencia en el Teatro Adolfo Mejía
4. Se realizó el cuarto encuentro del Plan lector con los coordinadores y apoyos de la Red Distrital de Cartagena de Indias, donde se compartió la lectura “El rastro de tu sangre en la nieve".</t>
  </si>
  <si>
    <t xml:space="preserve">"
1. Se está ejecutando en la Cárcel Distrital de mujeres un taller de escritura creativa, coordinado por Patricia Jerez, asesora bibliotecas con el apoyo de María Camila Rojas y Rodrigo Romero Bibliotecario Jorge Artel. Las beneficiarias del proyecto son 15 mujeres. El 7 de diciembre se hizo apertura de un concurso de cuentos donde participarán todas las mujeres de la cárcel y se va a premiar los tres primeros lugares, el concurso de cuentos cierra el 16 de diciembre. Los cuentos ganadores serán publicados y los mejores cuentos escritos harán parte del libro de cuentos impreso. Se imprimirá 1.000 ejemplares que serán enviados a las bibliotecas públicas, secretarias y diferentes instituciones públicas y privadas. El libro tendrá registro ISBN.
2. En lo relacionado con extensión bibliotecaria, la red de bibliotecas públicas realizó en el mes de Septiembre, 17 actividades, con un número de 614 beneficiados donde se destacaron actividades como: 
-Actividades de lectura en voz alta. 
-Actividad de formación de lectura y escritura. 
-Lectura al patio. 
-Escritura creativa 
La extensión bibliotecaria se realizó en los siguientes lugares: 
-Punta Canoa 
-Barrio El Pozón 
-Barrio 7 de abril. 
-Parque Villas de Aranjuez 
-Ciudad Bicentenario Manzana 76B 
-Centro de desarrollo infantil Ciudad Bicentenario 
-Parque de Pontezuela 
-Parque de las letras de Manzanillo 
-Institución Educativa Bayunca 
-Centro del adulto mayor de Pasacaballos 
</t>
  </si>
  <si>
    <t xml:space="preserve"> La red de bibliotecas realizó 275 talleres de formación artística y cultura</t>
  </si>
  <si>
    <t xml:space="preserve">"""La siguientes bibliotecas públicas han realizado actividades de mediación lectora utilizando la técnica de escritura creativa con los estudiantes de 9, 10 y 11 de estas instituciones Instituciones educativas: 
-Biblioteca Jesús Aguilar Núñez con estudiantes de la Institución Educativa Arroyo de Piedra sede Punta Canoa
-Biblioteca Jorge Artel con estudiantes de la Institución Educativa Nuestra Señora de la Consolata.
-Biblioteca José Vicente Mogollón – manzanillo del mar con estudiantes de la Institución Educativa Manzanillo del Mar.
-Biblioteca Juan de Dios Amador con estudiantes de la Institución Educativa Nuestra Señora del Perpetuo Socorro.
-Biblioteca pública de Pontezuela con estudiantes del grado 9º de la Institución Educativa de Pontezuela.
-Megabiblioteca Juan José Nieto con estudiantes de la Institución Educativa Rosedal.
-Megabiblioteca Pie de la Popa con estudiantes de la Institución GIMDECAR
</t>
  </si>
  <si>
    <t>Nº DE BENEFICIARIOS DICIEMBRE 2021</t>
  </si>
  <si>
    <t>% AVANCE META PRODUCTO A DICIEMBRE 2021</t>
  </si>
  <si>
    <t>% AVANCE DEL PROGRAMA A 30 DE DICIEMBRE 2021</t>
  </si>
  <si>
    <t>% AVANCE  PLAN DE DESARROLLO A 30 DE DICEMBRE 2021</t>
  </si>
  <si>
    <t>REPORTE META PRODUCTO  DICIEMBRE 2021</t>
  </si>
  <si>
    <t xml:space="preserve">21 PROCESOS IMPULSADOS DEL 2021 -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</si>
</sst>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Red]\-&quot;$&quot;#,##0"/>
    <numFmt numFmtId="165" formatCode="&quot;$&quot;#,##0.00;[Red]\-&quot;$&quot;#,##0.00"/>
    <numFmt numFmtId="166" formatCode="_-&quot;$&quot;* #,##0_-;\-&quot;$&quot;* #,##0_-;_-&quot;$&quot;* &quot;-&quot;_-;_-@_-"/>
    <numFmt numFmtId="167" formatCode="_-&quot;$&quot;* #,##0.00_-;\-&quot;$&quot;* #,##0.00_-;_-&quot;$&quot;* &quot;-&quot;??_-;_-@_-"/>
    <numFmt numFmtId="168" formatCode="_-&quot;$&quot;\ * #,##0_-;\-&quot;$&quot;\ * #,##0_-;_-&quot;$&quot;\ * &quot;-&quot;_-;_-@_-"/>
    <numFmt numFmtId="169" formatCode="0;[Red]0"/>
    <numFmt numFmtId="170" formatCode="_-&quot;$&quot;* #,##0_-;\-&quot;$&quot;* #,##0_-;_-&quot;$&quot;* &quot;-&quot;_-;_-@"/>
    <numFmt numFmtId="171" formatCode="_-&quot;$&quot;\ * #,##0.00_-;\-&quot;$&quot;\ * #,##0.00_-;_-&quot;$&quot;\ * &quot;-&quot;??_-;_-@"/>
    <numFmt numFmtId="172" formatCode="_-&quot;$&quot;* #,##0.00_-;\-&quot;$&quot;* #,##0.00_-;_-&quot;$&quot;* &quot;-&quot;??_-;_-@"/>
    <numFmt numFmtId="173" formatCode="0.000%"/>
    <numFmt numFmtId="174" formatCode="_-&quot;$&quot;* #,##0_-;\-&quot;$&quot;* #,##0_-;_-&quot;$&quot;* &quot;-&quot;??_-;_-@"/>
  </numFmts>
  <fonts count="20" x14ac:knownFonts="1">
    <font>
      <sz val="12"/>
      <color theme="1"/>
      <name val="Calibri"/>
      <family val="2"/>
      <scheme val="minor"/>
    </font>
    <font>
      <sz val="12"/>
      <color theme="1"/>
      <name val="Calibri"/>
      <family val="2"/>
      <scheme val="minor"/>
    </font>
    <font>
      <b/>
      <sz val="12"/>
      <color theme="1"/>
      <name val="Arial"/>
      <family val="2"/>
    </font>
    <font>
      <b/>
      <sz val="12"/>
      <color theme="1" tint="4.9989318521683403E-2"/>
      <name val="Arial"/>
      <family val="2"/>
    </font>
    <font>
      <sz val="11"/>
      <color theme="1"/>
      <name val="Arial"/>
      <family val="2"/>
    </font>
    <font>
      <sz val="12"/>
      <color theme="1"/>
      <name val="Arial"/>
      <family val="2"/>
    </font>
    <font>
      <sz val="12"/>
      <color rgb="FF000000"/>
      <name val="Arial"/>
      <family val="2"/>
    </font>
    <font>
      <sz val="10"/>
      <color theme="1"/>
      <name val="Calibri"/>
      <family val="2"/>
      <scheme val="minor"/>
    </font>
    <font>
      <u/>
      <sz val="11"/>
      <color theme="10"/>
      <name val="Calibri"/>
      <family val="2"/>
      <scheme val="minor"/>
    </font>
    <font>
      <u/>
      <sz val="12"/>
      <color theme="4"/>
      <name val="Arial"/>
      <family val="2"/>
    </font>
    <font>
      <sz val="11"/>
      <color rgb="FFFF0000"/>
      <name val="Calibri"/>
      <family val="2"/>
      <scheme val="minor"/>
    </font>
    <font>
      <sz val="12"/>
      <color theme="4"/>
      <name val="Arial"/>
      <family val="2"/>
    </font>
    <font>
      <sz val="10"/>
      <color rgb="FF000000"/>
      <name val="Calibri"/>
      <family val="2"/>
      <scheme val="minor"/>
    </font>
    <font>
      <b/>
      <sz val="9"/>
      <color rgb="FF000000"/>
      <name val="Tahoma"/>
      <family val="2"/>
    </font>
    <font>
      <sz val="9"/>
      <color rgb="FF000000"/>
      <name val="Tahoma"/>
      <family val="2"/>
    </font>
    <font>
      <b/>
      <sz val="12"/>
      <color theme="1"/>
      <name val="Calibri"/>
      <family val="2"/>
    </font>
    <font>
      <sz val="12"/>
      <color theme="1"/>
      <name val="Calibri"/>
      <family val="2"/>
    </font>
    <font>
      <u/>
      <sz val="11"/>
      <color theme="4"/>
      <name val="Calibri"/>
      <family val="2"/>
    </font>
    <font>
      <sz val="12"/>
      <name val="Arial"/>
      <family val="2"/>
    </font>
    <font>
      <b/>
      <sz val="12"/>
      <color rgb="FF000000"/>
      <name val="Arial"/>
      <family val="2"/>
    </font>
  </fonts>
  <fills count="5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0D7F4"/>
        <bgColor indexed="64"/>
      </patternFill>
    </fill>
    <fill>
      <patternFill patternType="solid">
        <fgColor rgb="FFF1C5CB"/>
        <bgColor indexed="64"/>
      </patternFill>
    </fill>
    <fill>
      <patternFill patternType="solid">
        <fgColor rgb="FFF2EDC8"/>
        <bgColor indexed="64"/>
      </patternFill>
    </fill>
    <fill>
      <patternFill patternType="solid">
        <fgColor rgb="FFC2F0F0"/>
        <bgColor indexed="64"/>
      </patternFill>
    </fill>
    <fill>
      <patternFill patternType="solid">
        <fgColor rgb="FFFFFF00"/>
        <bgColor rgb="FFFFFF00"/>
      </patternFill>
    </fill>
    <fill>
      <patternFill patternType="solid">
        <fgColor rgb="FFFEF2CB"/>
        <bgColor rgb="FFFEF2CB"/>
      </patternFill>
    </fill>
    <fill>
      <patternFill patternType="solid">
        <fgColor rgb="FFDEEAF6"/>
        <bgColor rgb="FFDEEAF6"/>
      </patternFill>
    </fill>
    <fill>
      <patternFill patternType="solid">
        <fgColor rgb="FFC5E0B3"/>
        <bgColor rgb="FFC5E0B3"/>
      </patternFill>
    </fill>
    <fill>
      <patternFill patternType="solid">
        <fgColor rgb="FFE2EFD9"/>
        <bgColor rgb="FFE2EFD9"/>
      </patternFill>
    </fill>
    <fill>
      <patternFill patternType="solid">
        <fgColor rgb="FFF7CAAC"/>
        <bgColor rgb="FFF7CAAC"/>
      </patternFill>
    </fill>
    <fill>
      <patternFill patternType="solid">
        <fgColor rgb="FFFBE4D5"/>
        <bgColor rgb="FFFBE4D5"/>
      </patternFill>
    </fill>
    <fill>
      <patternFill patternType="solid">
        <fgColor rgb="FFB4C6E7"/>
        <bgColor rgb="FFB4C6E7"/>
      </patternFill>
    </fill>
    <fill>
      <patternFill patternType="solid">
        <fgColor rgb="FFD6DCE4"/>
        <bgColor rgb="FFD6DCE4"/>
      </patternFill>
    </fill>
    <fill>
      <patternFill patternType="solid">
        <fgColor rgb="FFF0D7F4"/>
        <bgColor rgb="FFF0D7F4"/>
      </patternFill>
    </fill>
    <fill>
      <patternFill patternType="solid">
        <fgColor rgb="FFF1C5CB"/>
        <bgColor rgb="FFF1C5CB"/>
      </patternFill>
    </fill>
    <fill>
      <patternFill patternType="solid">
        <fgColor theme="0"/>
        <bgColor indexed="64"/>
      </patternFill>
    </fill>
    <fill>
      <patternFill patternType="solid">
        <fgColor theme="7" tint="0.39997558519241921"/>
        <bgColor indexed="64"/>
      </patternFill>
    </fill>
    <fill>
      <patternFill patternType="solid">
        <fgColor theme="7" tint="0.39997558519241921"/>
        <bgColor rgb="FFFEF2CB"/>
      </patternFill>
    </fill>
    <fill>
      <patternFill patternType="solid">
        <fgColor theme="7" tint="0.39997558519241921"/>
        <bgColor rgb="FFDEEAF6"/>
      </patternFill>
    </fill>
    <fill>
      <patternFill patternType="solid">
        <fgColor theme="7" tint="0.39997558519241921"/>
        <bgColor rgb="FFC5E0B3"/>
      </patternFill>
    </fill>
    <fill>
      <patternFill patternType="solid">
        <fgColor theme="7" tint="0.39997558519241921"/>
        <bgColor rgb="FFE2EFD9"/>
      </patternFill>
    </fill>
    <fill>
      <patternFill patternType="solid">
        <fgColor theme="7" tint="0.39997558519241921"/>
        <bgColor rgb="FFF7CAAC"/>
      </patternFill>
    </fill>
    <fill>
      <patternFill patternType="solid">
        <fgColor theme="7" tint="0.39997558519241921"/>
        <bgColor rgb="FFB4C6E7"/>
      </patternFill>
    </fill>
    <fill>
      <patternFill patternType="solid">
        <fgColor theme="7" tint="0.39997558519241921"/>
        <bgColor rgb="FFD6DCE4"/>
      </patternFill>
    </fill>
    <fill>
      <patternFill patternType="solid">
        <fgColor theme="7" tint="0.39997558519241921"/>
        <bgColor rgb="FFF0D7F4"/>
      </patternFill>
    </fill>
    <fill>
      <patternFill patternType="solid">
        <fgColor theme="7" tint="0.39997558519241921"/>
        <bgColor rgb="FFF1C5CB"/>
      </patternFill>
    </fill>
    <fill>
      <patternFill patternType="solid">
        <fgColor rgb="FF91E8EA"/>
        <bgColor indexed="64"/>
      </patternFill>
    </fill>
    <fill>
      <patternFill patternType="solid">
        <fgColor rgb="FF91E8EA"/>
        <bgColor rgb="FFB4C6E7"/>
      </patternFill>
    </fill>
    <fill>
      <patternFill patternType="solid">
        <fgColor rgb="FF91E8EA"/>
        <bgColor rgb="FFD6DCE4"/>
      </patternFill>
    </fill>
    <fill>
      <patternFill patternType="solid">
        <fgColor rgb="FF91E8EA"/>
        <bgColor rgb="FFF0D7F4"/>
      </patternFill>
    </fill>
    <fill>
      <patternFill patternType="solid">
        <fgColor rgb="FF91E8EA"/>
        <bgColor rgb="FFF1C5CB"/>
      </patternFill>
    </fill>
    <fill>
      <patternFill patternType="solid">
        <fgColor rgb="FFFFFF00"/>
        <bgColor rgb="FFFEF2CB"/>
      </patternFill>
    </fill>
    <fill>
      <patternFill patternType="solid">
        <fgColor rgb="FFFFFF00"/>
        <bgColor rgb="FFDEEAF6"/>
      </patternFill>
    </fill>
    <fill>
      <patternFill patternType="solid">
        <fgColor rgb="FFFFFF00"/>
        <bgColor rgb="FFC5E0B3"/>
      </patternFill>
    </fill>
    <fill>
      <patternFill patternType="solid">
        <fgColor rgb="FFFFFF00"/>
        <bgColor rgb="FFF7CAAC"/>
      </patternFill>
    </fill>
    <fill>
      <patternFill patternType="solid">
        <fgColor rgb="FFFFFF00"/>
        <bgColor rgb="FFB4C6E7"/>
      </patternFill>
    </fill>
    <fill>
      <patternFill patternType="solid">
        <fgColor rgb="FFFFFF00"/>
        <bgColor rgb="FFF0D7F4"/>
      </patternFill>
    </fill>
    <fill>
      <patternFill patternType="solid">
        <fgColor rgb="FFFFC000"/>
        <bgColor indexed="64"/>
      </patternFill>
    </fill>
    <fill>
      <patternFill patternType="solid">
        <fgColor rgb="FFFFC000"/>
        <bgColor rgb="FFFEF2CB"/>
      </patternFill>
    </fill>
    <fill>
      <patternFill patternType="solid">
        <fgColor rgb="FFFFC000"/>
        <bgColor rgb="FFDEEAF6"/>
      </patternFill>
    </fill>
    <fill>
      <patternFill patternType="solid">
        <fgColor rgb="FFFFC000"/>
        <bgColor rgb="FFC5E0B3"/>
      </patternFill>
    </fill>
    <fill>
      <patternFill patternType="solid">
        <fgColor rgb="FFFFC000"/>
        <bgColor rgb="FFE2EFD9"/>
      </patternFill>
    </fill>
    <fill>
      <patternFill patternType="solid">
        <fgColor rgb="FFFFC000"/>
        <bgColor rgb="FFF7CAAC"/>
      </patternFill>
    </fill>
    <fill>
      <patternFill patternType="solid">
        <fgColor rgb="FFFFC000"/>
        <bgColor rgb="FFB4C6E7"/>
      </patternFill>
    </fill>
    <fill>
      <patternFill patternType="solid">
        <fgColor rgb="FFFFC000"/>
        <bgColor rgb="FFD6DCE4"/>
      </patternFill>
    </fill>
    <fill>
      <patternFill patternType="solid">
        <fgColor rgb="FFFFC000"/>
        <bgColor rgb="FFF0D7F4"/>
      </patternFill>
    </fill>
    <fill>
      <patternFill patternType="solid">
        <fgColor rgb="FFFFC000"/>
        <bgColor rgb="FFF1C5CB"/>
      </patternFill>
    </fill>
  </fills>
  <borders count="2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5">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628">
    <xf numFmtId="0" fontId="0" fillId="0" borderId="0" xfId="0"/>
    <xf numFmtId="0" fontId="0" fillId="0" borderId="0" xfId="0" applyAlignment="1">
      <alignment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69" fontId="2" fillId="2" borderId="4" xfId="0" applyNumberFormat="1" applyFont="1" applyFill="1" applyBorder="1" applyAlignment="1">
      <alignment horizontal="center" vertical="center" wrapText="1"/>
    </xf>
    <xf numFmtId="168" fontId="2" fillId="2"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0" xfId="0" applyFont="1" applyAlignment="1">
      <alignment wrapText="1"/>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4" borderId="4" xfId="0" applyFont="1" applyFill="1" applyBorder="1" applyAlignment="1">
      <alignment wrapText="1"/>
    </xf>
    <xf numFmtId="167" fontId="7" fillId="4" borderId="4" xfId="1" applyFont="1" applyFill="1" applyBorder="1" applyAlignment="1">
      <alignment wrapText="1"/>
    </xf>
    <xf numFmtId="0" fontId="7" fillId="4" borderId="4" xfId="0" applyFont="1" applyFill="1" applyBorder="1" applyAlignment="1">
      <alignment horizontal="center" vertical="center" wrapText="1"/>
    </xf>
    <xf numFmtId="0" fontId="0" fillId="4" borderId="0" xfId="0" applyFill="1" applyAlignment="1">
      <alignment wrapText="1"/>
    </xf>
    <xf numFmtId="166" fontId="0" fillId="4" borderId="0" xfId="2" applyFont="1" applyFill="1" applyBorder="1" applyAlignment="1">
      <alignment wrapText="1"/>
    </xf>
    <xf numFmtId="0" fontId="6"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0" xfId="0" applyFill="1" applyAlignment="1">
      <alignment wrapText="1"/>
    </xf>
    <xf numFmtId="166" fontId="0" fillId="5" borderId="0" xfId="2" applyFont="1" applyFill="1" applyBorder="1" applyAlignment="1">
      <alignment wrapText="1"/>
    </xf>
    <xf numFmtId="166" fontId="10" fillId="5" borderId="0" xfId="2" applyFont="1" applyFill="1" applyBorder="1" applyAlignment="1">
      <alignment wrapText="1"/>
    </xf>
    <xf numFmtId="0" fontId="5" fillId="6" borderId="4" xfId="0" applyFont="1" applyFill="1" applyBorder="1" applyAlignment="1">
      <alignment horizontal="center" vertical="center" wrapText="1"/>
    </xf>
    <xf numFmtId="0" fontId="7" fillId="6" borderId="4" xfId="0" applyFont="1" applyFill="1" applyBorder="1" applyAlignment="1">
      <alignment wrapText="1"/>
    </xf>
    <xf numFmtId="167" fontId="7" fillId="6" borderId="4" xfId="1" applyFont="1" applyFill="1" applyBorder="1" applyAlignment="1">
      <alignment wrapText="1"/>
    </xf>
    <xf numFmtId="0" fontId="7" fillId="6" borderId="4" xfId="0" applyFont="1" applyFill="1" applyBorder="1" applyAlignment="1">
      <alignment horizontal="center" vertical="center" wrapText="1"/>
    </xf>
    <xf numFmtId="0" fontId="0" fillId="6" borderId="0" xfId="0" applyFill="1" applyAlignment="1">
      <alignment wrapText="1"/>
    </xf>
    <xf numFmtId="166" fontId="0" fillId="6" borderId="0" xfId="2" applyFont="1" applyFill="1" applyBorder="1" applyAlignment="1">
      <alignment wrapText="1"/>
    </xf>
    <xf numFmtId="166" fontId="10" fillId="6" borderId="0" xfId="2" applyFont="1" applyFill="1" applyBorder="1" applyAlignment="1">
      <alignment wrapText="1"/>
    </xf>
    <xf numFmtId="0" fontId="5" fillId="7" borderId="4" xfId="0" applyFont="1" applyFill="1" applyBorder="1" applyAlignment="1">
      <alignment horizontal="center" vertical="center" wrapText="1"/>
    </xf>
    <xf numFmtId="0" fontId="7" fillId="7" borderId="4" xfId="0" applyFont="1" applyFill="1" applyBorder="1" applyAlignment="1">
      <alignment wrapText="1"/>
    </xf>
    <xf numFmtId="167" fontId="7" fillId="7" borderId="4" xfId="1" applyFont="1" applyFill="1" applyBorder="1" applyAlignment="1">
      <alignment wrapText="1"/>
    </xf>
    <xf numFmtId="0" fontId="7" fillId="7" borderId="4" xfId="0" applyFont="1" applyFill="1" applyBorder="1" applyAlignment="1">
      <alignment horizontal="center" vertical="center" wrapText="1"/>
    </xf>
    <xf numFmtId="0" fontId="0" fillId="7" borderId="0" xfId="0" applyFill="1" applyAlignment="1">
      <alignment wrapText="1"/>
    </xf>
    <xf numFmtId="166" fontId="0" fillId="7" borderId="0" xfId="2" applyFont="1" applyFill="1" applyBorder="1" applyAlignment="1">
      <alignment wrapText="1"/>
    </xf>
    <xf numFmtId="0" fontId="6"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167" fontId="7" fillId="8" borderId="4" xfId="1" applyFont="1" applyFill="1" applyBorder="1" applyAlignment="1">
      <alignment wrapText="1"/>
    </xf>
    <xf numFmtId="0" fontId="7" fillId="8" borderId="4" xfId="0" applyFont="1" applyFill="1" applyBorder="1" applyAlignment="1">
      <alignment horizontal="center" vertical="center" wrapText="1"/>
    </xf>
    <xf numFmtId="0" fontId="0" fillId="8" borderId="0" xfId="0" applyFill="1" applyAlignment="1">
      <alignment wrapText="1"/>
    </xf>
    <xf numFmtId="166" fontId="0" fillId="8" borderId="0" xfId="2" applyFont="1" applyFill="1" applyBorder="1" applyAlignment="1">
      <alignment wrapText="1"/>
    </xf>
    <xf numFmtId="0" fontId="7" fillId="8" borderId="4" xfId="0" applyFont="1" applyFill="1" applyBorder="1" applyAlignment="1">
      <alignment wrapText="1"/>
    </xf>
    <xf numFmtId="0" fontId="6"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7" fillId="9" borderId="4" xfId="0" applyFont="1" applyFill="1" applyBorder="1" applyAlignment="1">
      <alignment wrapText="1"/>
    </xf>
    <xf numFmtId="167" fontId="7" fillId="9" borderId="4" xfId="1" applyFont="1" applyFill="1" applyBorder="1" applyAlignment="1">
      <alignment wrapText="1"/>
    </xf>
    <xf numFmtId="0" fontId="7" fillId="9" borderId="4" xfId="0" applyFont="1" applyFill="1" applyBorder="1" applyAlignment="1">
      <alignment horizontal="center" vertical="center" wrapText="1"/>
    </xf>
    <xf numFmtId="0" fontId="0" fillId="9" borderId="0" xfId="0" applyFill="1" applyAlignment="1">
      <alignment wrapText="1"/>
    </xf>
    <xf numFmtId="166" fontId="0" fillId="9" borderId="0" xfId="2" applyFont="1" applyFill="1" applyBorder="1" applyAlignment="1">
      <alignment wrapText="1"/>
    </xf>
    <xf numFmtId="166" fontId="7" fillId="9" borderId="4" xfId="2" applyFont="1" applyFill="1" applyBorder="1" applyAlignment="1">
      <alignment wrapText="1"/>
    </xf>
    <xf numFmtId="0" fontId="6" fillId="10"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7" fillId="10" borderId="4" xfId="0" applyFont="1" applyFill="1" applyBorder="1" applyAlignment="1">
      <alignment wrapText="1"/>
    </xf>
    <xf numFmtId="167" fontId="7" fillId="10" borderId="4" xfId="1" applyFont="1" applyFill="1" applyBorder="1" applyAlignment="1">
      <alignment wrapText="1"/>
    </xf>
    <xf numFmtId="0" fontId="7" fillId="10" borderId="4" xfId="0" applyFont="1" applyFill="1" applyBorder="1" applyAlignment="1">
      <alignment horizontal="center" vertical="center" wrapText="1"/>
    </xf>
    <xf numFmtId="0" fontId="0" fillId="10" borderId="0" xfId="0" applyFill="1" applyAlignment="1">
      <alignment wrapText="1"/>
    </xf>
    <xf numFmtId="166" fontId="0" fillId="10" borderId="0" xfId="2" applyFont="1" applyFill="1" applyBorder="1" applyAlignment="1">
      <alignment wrapText="1"/>
    </xf>
    <xf numFmtId="0" fontId="6" fillId="11"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7" fillId="11" borderId="4" xfId="0" applyFont="1" applyFill="1" applyBorder="1" applyAlignment="1">
      <alignment wrapText="1"/>
    </xf>
    <xf numFmtId="167" fontId="7" fillId="11" borderId="4" xfId="1" applyFont="1" applyFill="1" applyBorder="1" applyAlignment="1">
      <alignment wrapText="1"/>
    </xf>
    <xf numFmtId="0" fontId="7" fillId="11" borderId="4" xfId="0" applyFont="1" applyFill="1" applyBorder="1" applyAlignment="1">
      <alignment horizontal="center" vertical="center" wrapText="1"/>
    </xf>
    <xf numFmtId="0" fontId="0" fillId="11" borderId="0" xfId="0" applyFill="1" applyAlignment="1">
      <alignment wrapText="1"/>
    </xf>
    <xf numFmtId="166" fontId="0" fillId="11" borderId="0" xfId="2" applyFont="1" applyFill="1" applyBorder="1" applyAlignment="1">
      <alignment wrapText="1"/>
    </xf>
    <xf numFmtId="0" fontId="6" fillId="12"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7" fillId="12" borderId="4" xfId="0" applyFont="1" applyFill="1" applyBorder="1" applyAlignment="1">
      <alignment wrapText="1"/>
    </xf>
    <xf numFmtId="167" fontId="12" fillId="12" borderId="4" xfId="1" applyFont="1" applyFill="1" applyBorder="1" applyAlignment="1">
      <alignment wrapText="1"/>
    </xf>
    <xf numFmtId="0" fontId="7" fillId="12" borderId="4" xfId="0" applyFont="1" applyFill="1" applyBorder="1" applyAlignment="1">
      <alignment horizontal="center" vertical="center" wrapText="1"/>
    </xf>
    <xf numFmtId="0" fontId="0" fillId="12" borderId="0" xfId="0" applyFill="1" applyAlignment="1">
      <alignment wrapText="1"/>
    </xf>
    <xf numFmtId="166" fontId="0" fillId="12" borderId="0" xfId="2" applyFont="1" applyFill="1" applyBorder="1" applyAlignment="1">
      <alignment wrapText="1"/>
    </xf>
    <xf numFmtId="166" fontId="7" fillId="12" borderId="4" xfId="2" applyFont="1" applyFill="1" applyBorder="1" applyAlignment="1">
      <alignment horizontal="center" vertical="center" wrapText="1"/>
    </xf>
    <xf numFmtId="0" fontId="6" fillId="13" borderId="4"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7" fillId="13" borderId="4" xfId="0" applyFont="1" applyFill="1" applyBorder="1" applyAlignment="1">
      <alignment wrapText="1"/>
    </xf>
    <xf numFmtId="167" fontId="12" fillId="13" borderId="4" xfId="1" applyFont="1" applyFill="1" applyBorder="1" applyAlignment="1">
      <alignment wrapText="1"/>
    </xf>
    <xf numFmtId="0" fontId="7" fillId="13" borderId="4" xfId="0" applyFont="1" applyFill="1" applyBorder="1" applyAlignment="1">
      <alignment horizontal="center" vertical="center" wrapText="1"/>
    </xf>
    <xf numFmtId="0" fontId="0" fillId="13" borderId="0" xfId="0" applyFill="1" applyAlignment="1">
      <alignment wrapText="1"/>
    </xf>
    <xf numFmtId="166" fontId="0" fillId="13" borderId="0" xfId="2" applyFont="1" applyFill="1" applyBorder="1" applyAlignment="1">
      <alignment wrapText="1"/>
    </xf>
    <xf numFmtId="0" fontId="7" fillId="13" borderId="5" xfId="0" applyFont="1" applyFill="1" applyBorder="1" applyAlignment="1">
      <alignment wrapText="1"/>
    </xf>
    <xf numFmtId="167" fontId="12" fillId="13" borderId="5" xfId="1" applyFont="1" applyFill="1" applyBorder="1" applyAlignment="1">
      <alignment wrapText="1"/>
    </xf>
    <xf numFmtId="0" fontId="7" fillId="13" borderId="5" xfId="0" applyFont="1" applyFill="1" applyBorder="1" applyAlignment="1">
      <alignment horizontal="center" vertical="center" wrapText="1"/>
    </xf>
    <xf numFmtId="0" fontId="5" fillId="14" borderId="4" xfId="0" applyFont="1" applyFill="1" applyBorder="1" applyAlignment="1">
      <alignment vertical="center" wrapText="1"/>
    </xf>
    <xf numFmtId="0" fontId="6" fillId="14" borderId="4" xfId="0" applyFont="1" applyFill="1" applyBorder="1" applyAlignment="1">
      <alignment horizontal="center" vertical="center" wrapText="1"/>
    </xf>
    <xf numFmtId="0" fontId="5" fillId="14" borderId="4" xfId="0" applyFont="1" applyFill="1" applyBorder="1" applyAlignment="1">
      <alignment horizontal="center" vertical="center" wrapText="1"/>
    </xf>
    <xf numFmtId="1" fontId="5" fillId="14" borderId="4" xfId="0" applyNumberFormat="1" applyFont="1" applyFill="1" applyBorder="1" applyAlignment="1">
      <alignment horizontal="center" vertical="center" wrapText="1"/>
    </xf>
    <xf numFmtId="0" fontId="7" fillId="14" borderId="4" xfId="0" applyFont="1" applyFill="1" applyBorder="1" applyAlignment="1">
      <alignment wrapText="1"/>
    </xf>
    <xf numFmtId="167" fontId="12" fillId="14" borderId="4" xfId="1" applyFont="1" applyFill="1" applyBorder="1" applyAlignment="1">
      <alignment wrapText="1"/>
    </xf>
    <xf numFmtId="0" fontId="7" fillId="14" borderId="4" xfId="0" applyFont="1" applyFill="1" applyBorder="1" applyAlignment="1">
      <alignment horizontal="center" vertical="center" wrapText="1"/>
    </xf>
    <xf numFmtId="0" fontId="0" fillId="14" borderId="0" xfId="0" applyFill="1" applyAlignment="1">
      <alignment wrapText="1"/>
    </xf>
    <xf numFmtId="166" fontId="0" fillId="14" borderId="0" xfId="2" applyFont="1" applyFill="1" applyBorder="1" applyAlignment="1">
      <alignment wrapText="1"/>
    </xf>
    <xf numFmtId="0" fontId="6" fillId="15" borderId="4"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7" fillId="15" borderId="4" xfId="0" applyFont="1" applyFill="1" applyBorder="1" applyAlignment="1">
      <alignment wrapText="1"/>
    </xf>
    <xf numFmtId="167" fontId="12" fillId="15" borderId="4" xfId="1" applyFont="1" applyFill="1" applyBorder="1" applyAlignment="1">
      <alignment wrapText="1"/>
    </xf>
    <xf numFmtId="0" fontId="0" fillId="15" borderId="0" xfId="0" applyFill="1" applyAlignment="1">
      <alignment wrapText="1"/>
    </xf>
    <xf numFmtId="166" fontId="0" fillId="15" borderId="0" xfId="2" applyFont="1" applyFill="1" applyBorder="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0" fontId="16" fillId="18" borderId="9" xfId="0" applyFont="1" applyFill="1" applyBorder="1" applyAlignment="1">
      <alignment horizontal="left" wrapText="1"/>
    </xf>
    <xf numFmtId="0" fontId="16" fillId="18" borderId="10" xfId="0" applyFont="1" applyFill="1" applyBorder="1" applyAlignment="1">
      <alignment horizontal="left" wrapText="1"/>
    </xf>
    <xf numFmtId="0" fontId="16" fillId="19" borderId="8" xfId="0" applyFont="1" applyFill="1" applyBorder="1" applyAlignment="1">
      <alignment wrapText="1"/>
    </xf>
    <xf numFmtId="0" fontId="16" fillId="20" borderId="8" xfId="0" applyFont="1" applyFill="1" applyBorder="1" applyAlignment="1">
      <alignment wrapText="1"/>
    </xf>
    <xf numFmtId="0" fontId="16" fillId="21" borderId="8" xfId="0" applyFont="1" applyFill="1" applyBorder="1" applyAlignment="1">
      <alignment wrapText="1"/>
    </xf>
    <xf numFmtId="0" fontId="16" fillId="22" borderId="8" xfId="0" applyFont="1" applyFill="1" applyBorder="1" applyAlignment="1">
      <alignment wrapText="1"/>
    </xf>
    <xf numFmtId="170" fontId="16" fillId="22" borderId="8" xfId="0" applyNumberFormat="1" applyFont="1" applyFill="1" applyBorder="1" applyAlignment="1">
      <alignment wrapText="1"/>
    </xf>
    <xf numFmtId="0" fontId="16" fillId="23" borderId="8" xfId="0" applyFont="1" applyFill="1" applyBorder="1" applyAlignment="1">
      <alignment wrapText="1"/>
    </xf>
    <xf numFmtId="170" fontId="16" fillId="23" borderId="8" xfId="0" applyNumberFormat="1" applyFont="1" applyFill="1" applyBorder="1" applyAlignment="1">
      <alignment wrapText="1"/>
    </xf>
    <xf numFmtId="0" fontId="16" fillId="24" borderId="8" xfId="0" applyFont="1" applyFill="1" applyBorder="1" applyAlignment="1">
      <alignment wrapText="1"/>
    </xf>
    <xf numFmtId="0" fontId="16" fillId="25" borderId="8" xfId="0" applyFont="1" applyFill="1" applyBorder="1" applyAlignment="1">
      <alignment wrapText="1"/>
    </xf>
    <xf numFmtId="0" fontId="16" fillId="26" borderId="8" xfId="0" applyFont="1" applyFill="1" applyBorder="1" applyAlignment="1">
      <alignment wrapText="1"/>
    </xf>
    <xf numFmtId="0" fontId="0" fillId="14" borderId="4" xfId="0" applyFont="1" applyFill="1" applyBorder="1" applyAlignment="1">
      <alignment wrapText="1"/>
    </xf>
    <xf numFmtId="0" fontId="0" fillId="15" borderId="4" xfId="0" applyFont="1" applyFill="1" applyBorder="1" applyAlignment="1">
      <alignment wrapText="1"/>
    </xf>
    <xf numFmtId="0" fontId="16" fillId="0" borderId="0" xfId="0" applyFont="1" applyAlignment="1">
      <alignment wrapText="1"/>
    </xf>
    <xf numFmtId="0" fontId="16" fillId="0" borderId="0" xfId="0" applyFont="1" applyAlignment="1">
      <alignment horizontal="center" wrapText="1"/>
    </xf>
    <xf numFmtId="0" fontId="0" fillId="0" borderId="0" xfId="0" applyFont="1"/>
    <xf numFmtId="0" fontId="16" fillId="18" borderId="8" xfId="0" applyFont="1" applyFill="1" applyBorder="1" applyAlignment="1">
      <alignment horizontal="left" vertical="center" wrapText="1"/>
    </xf>
    <xf numFmtId="0" fontId="2" fillId="16" borderId="8" xfId="0" applyFont="1" applyFill="1" applyBorder="1" applyAlignment="1">
      <alignment horizontal="center" vertical="center" wrapText="1"/>
    </xf>
    <xf numFmtId="0" fontId="0" fillId="0" borderId="0" xfId="0" applyAlignment="1">
      <alignment horizontal="center" wrapText="1"/>
    </xf>
    <xf numFmtId="0" fontId="0" fillId="0" borderId="8" xfId="0" applyBorder="1" applyAlignment="1">
      <alignment horizontal="center" wrapText="1"/>
    </xf>
    <xf numFmtId="0" fontId="0" fillId="14" borderId="3" xfId="0" applyFill="1" applyBorder="1" applyAlignment="1">
      <alignment wrapText="1"/>
    </xf>
    <xf numFmtId="9" fontId="2" fillId="3" borderId="4" xfId="3" applyFont="1" applyFill="1" applyBorder="1" applyAlignment="1">
      <alignment horizontal="center" vertical="center" wrapText="1"/>
    </xf>
    <xf numFmtId="9" fontId="5" fillId="0" borderId="0" xfId="3" applyFont="1" applyAlignment="1">
      <alignment horizontal="center" wrapText="1"/>
    </xf>
    <xf numFmtId="0" fontId="15" fillId="18" borderId="4" xfId="0" applyFont="1" applyFill="1" applyBorder="1" applyAlignment="1">
      <alignment horizontal="center" vertical="center" wrapText="1"/>
    </xf>
    <xf numFmtId="0" fontId="0" fillId="14" borderId="4" xfId="0" applyFill="1" applyBorder="1" applyAlignment="1">
      <alignment horizontal="center" vertical="center" wrapText="1"/>
    </xf>
    <xf numFmtId="0" fontId="0" fillId="15" borderId="4" xfId="0" applyFill="1" applyBorder="1" applyAlignment="1">
      <alignment horizontal="center" vertical="center" wrapText="1"/>
    </xf>
    <xf numFmtId="0" fontId="15" fillId="25" borderId="21" xfId="0" applyFont="1" applyFill="1" applyBorder="1" applyAlignment="1">
      <alignment horizontal="center" vertical="center" wrapText="1"/>
    </xf>
    <xf numFmtId="0" fontId="15" fillId="26" borderId="21" xfId="0" applyFont="1" applyFill="1" applyBorder="1" applyAlignment="1">
      <alignment horizontal="center" vertical="center" wrapText="1"/>
    </xf>
    <xf numFmtId="0" fontId="0" fillId="14" borderId="3" xfId="0" applyFill="1" applyBorder="1" applyAlignment="1">
      <alignment horizontal="center" vertical="center" wrapText="1"/>
    </xf>
    <xf numFmtId="0" fontId="0" fillId="15" borderId="3" xfId="0" applyFill="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2" fillId="16" borderId="21" xfId="0" applyFont="1" applyFill="1" applyBorder="1" applyAlignment="1">
      <alignment horizontal="center" vertical="center" wrapText="1"/>
    </xf>
    <xf numFmtId="171" fontId="8" fillId="17" borderId="21" xfId="4" applyNumberFormat="1" applyFill="1" applyBorder="1" applyAlignment="1">
      <alignment horizontal="center" vertical="center" wrapText="1"/>
    </xf>
    <xf numFmtId="0" fontId="8" fillId="18" borderId="21" xfId="4" applyFill="1" applyBorder="1" applyAlignment="1">
      <alignment horizontal="center" vertical="center" wrapText="1"/>
    </xf>
    <xf numFmtId="0" fontId="6" fillId="19" borderId="21" xfId="0" applyFont="1" applyFill="1" applyBorder="1" applyAlignment="1">
      <alignment horizontal="center" vertical="center" wrapText="1"/>
    </xf>
    <xf numFmtId="0" fontId="9" fillId="19" borderId="21" xfId="0" applyFont="1" applyFill="1" applyBorder="1" applyAlignment="1">
      <alignment horizontal="center" vertical="center" wrapText="1"/>
    </xf>
    <xf numFmtId="171" fontId="9" fillId="20" borderId="21" xfId="0" applyNumberFormat="1" applyFont="1" applyFill="1" applyBorder="1" applyAlignment="1">
      <alignment horizontal="center" vertical="center" wrapText="1"/>
    </xf>
    <xf numFmtId="0" fontId="8" fillId="20" borderId="21" xfId="4" applyFill="1" applyBorder="1" applyAlignment="1">
      <alignment horizontal="center" vertical="center" wrapText="1"/>
    </xf>
    <xf numFmtId="0" fontId="0" fillId="20" borderId="21" xfId="0" applyFill="1" applyBorder="1" applyAlignment="1">
      <alignment horizontal="center" vertical="center" wrapText="1"/>
    </xf>
    <xf numFmtId="172" fontId="11" fillId="21" borderId="21" xfId="0" applyNumberFormat="1" applyFont="1" applyFill="1" applyBorder="1" applyAlignment="1">
      <alignment horizontal="center" vertical="center" wrapText="1"/>
    </xf>
    <xf numFmtId="0" fontId="0" fillId="23" borderId="21" xfId="0" applyFill="1" applyBorder="1" applyAlignment="1">
      <alignment horizontal="center" vertical="center" wrapText="1"/>
    </xf>
    <xf numFmtId="0" fontId="15" fillId="23" borderId="21" xfId="0" applyFont="1" applyFill="1" applyBorder="1" applyAlignment="1">
      <alignment vertical="center" wrapText="1"/>
    </xf>
    <xf numFmtId="9" fontId="0" fillId="23" borderId="21" xfId="0" applyNumberFormat="1" applyFill="1" applyBorder="1" applyAlignment="1">
      <alignment horizontal="center" vertical="center" wrapText="1"/>
    </xf>
    <xf numFmtId="172" fontId="11" fillId="23" borderId="21" xfId="0" applyNumberFormat="1" applyFont="1" applyFill="1" applyBorder="1" applyAlignment="1">
      <alignment horizontal="center" vertical="center" wrapText="1"/>
    </xf>
    <xf numFmtId="0" fontId="6" fillId="23" borderId="21" xfId="0" applyFont="1" applyFill="1" applyBorder="1" applyAlignment="1">
      <alignment horizontal="center" vertical="center" wrapText="1"/>
    </xf>
    <xf numFmtId="0" fontId="0" fillId="24" borderId="21" xfId="0" applyFill="1" applyBorder="1" applyAlignment="1">
      <alignment horizontal="center" vertical="center" wrapText="1"/>
    </xf>
    <xf numFmtId="49" fontId="9" fillId="24" borderId="21" xfId="0" applyNumberFormat="1" applyFont="1" applyFill="1" applyBorder="1" applyAlignment="1">
      <alignment horizontal="center" vertical="center" wrapText="1"/>
    </xf>
    <xf numFmtId="0" fontId="9" fillId="25" borderId="21" xfId="0" applyFont="1" applyFill="1" applyBorder="1" applyAlignment="1">
      <alignment horizontal="center" vertical="center" wrapText="1"/>
    </xf>
    <xf numFmtId="0" fontId="0" fillId="25" borderId="21" xfId="0" applyFill="1" applyBorder="1" applyAlignment="1">
      <alignment horizontal="center" vertical="center" wrapText="1"/>
    </xf>
    <xf numFmtId="49" fontId="0" fillId="26" borderId="21" xfId="0" applyNumberFormat="1" applyFill="1" applyBorder="1" applyAlignment="1">
      <alignment horizontal="center" vertical="center" wrapText="1"/>
    </xf>
    <xf numFmtId="0" fontId="8" fillId="26" borderId="21" xfId="4" applyFill="1" applyBorder="1" applyAlignment="1">
      <alignment horizontal="center" vertical="center" wrapText="1"/>
    </xf>
    <xf numFmtId="0" fontId="9" fillId="26" borderId="21" xfId="0" applyFont="1" applyFill="1" applyBorder="1" applyAlignment="1">
      <alignment horizontal="center" vertical="center" wrapText="1"/>
    </xf>
    <xf numFmtId="0" fontId="0" fillId="15" borderId="3" xfId="0" applyFill="1" applyBorder="1" applyAlignment="1">
      <alignment wrapText="1"/>
    </xf>
    <xf numFmtId="0" fontId="2" fillId="16" borderId="4" xfId="0" applyFont="1" applyFill="1" applyBorder="1" applyAlignment="1">
      <alignment horizontal="center" vertical="center" wrapText="1"/>
    </xf>
    <xf numFmtId="0" fontId="0" fillId="0" borderId="0" xfId="0" applyAlignment="1">
      <alignment horizontal="center" vertical="center" wrapText="1"/>
    </xf>
    <xf numFmtId="9" fontId="0" fillId="14" borderId="4" xfId="3" applyFont="1" applyFill="1" applyBorder="1" applyAlignment="1">
      <alignment horizontal="center" vertical="center" wrapText="1"/>
    </xf>
    <xf numFmtId="9" fontId="0" fillId="15" borderId="4" xfId="3" applyFont="1" applyFill="1" applyBorder="1" applyAlignment="1">
      <alignment horizontal="center" vertical="center" wrapText="1"/>
    </xf>
    <xf numFmtId="9" fontId="0" fillId="15" borderId="7" xfId="3" applyFont="1" applyFill="1" applyBorder="1" applyAlignment="1">
      <alignment horizontal="center" vertical="center" wrapText="1"/>
    </xf>
    <xf numFmtId="0" fontId="16" fillId="18" borderId="21" xfId="0" applyFont="1" applyFill="1" applyBorder="1" applyAlignment="1">
      <alignment horizontal="center" vertical="center" wrapText="1"/>
    </xf>
    <xf numFmtId="0" fontId="16" fillId="18" borderId="14" xfId="0" applyFont="1" applyFill="1" applyBorder="1" applyAlignment="1">
      <alignment horizontal="center" wrapText="1"/>
    </xf>
    <xf numFmtId="0" fontId="16" fillId="18" borderId="15" xfId="0" applyFont="1" applyFill="1" applyBorder="1" applyAlignment="1">
      <alignment horizontal="center" wrapText="1"/>
    </xf>
    <xf numFmtId="0" fontId="16" fillId="19" borderId="21" xfId="0" applyFont="1" applyFill="1" applyBorder="1" applyAlignment="1">
      <alignment horizontal="center" wrapText="1"/>
    </xf>
    <xf numFmtId="0" fontId="16" fillId="20" borderId="21" xfId="0" applyFont="1" applyFill="1" applyBorder="1" applyAlignment="1">
      <alignment horizontal="center" wrapText="1"/>
    </xf>
    <xf numFmtId="0" fontId="16" fillId="21" borderId="21" xfId="0" applyFont="1" applyFill="1" applyBorder="1" applyAlignment="1">
      <alignment horizontal="center" wrapText="1"/>
    </xf>
    <xf numFmtId="0" fontId="16" fillId="22" borderId="21" xfId="0" applyFont="1" applyFill="1" applyBorder="1" applyAlignment="1">
      <alignment horizontal="center" wrapText="1"/>
    </xf>
    <xf numFmtId="170" fontId="16" fillId="22" borderId="21" xfId="0" applyNumberFormat="1" applyFont="1" applyFill="1" applyBorder="1" applyAlignment="1">
      <alignment horizontal="center" wrapText="1"/>
    </xf>
    <xf numFmtId="0" fontId="16" fillId="23" borderId="21" xfId="0" applyFont="1" applyFill="1" applyBorder="1" applyAlignment="1">
      <alignment horizontal="center" wrapText="1"/>
    </xf>
    <xf numFmtId="170" fontId="16" fillId="23" borderId="21" xfId="0" applyNumberFormat="1" applyFont="1" applyFill="1" applyBorder="1" applyAlignment="1">
      <alignment horizontal="center" wrapText="1"/>
    </xf>
    <xf numFmtId="0" fontId="16" fillId="24" borderId="21" xfId="0" applyFont="1" applyFill="1" applyBorder="1" applyAlignment="1">
      <alignment horizontal="center" wrapText="1"/>
    </xf>
    <xf numFmtId="0" fontId="16" fillId="25" borderId="21" xfId="0" applyFont="1" applyFill="1" applyBorder="1" applyAlignment="1">
      <alignment horizontal="center" wrapText="1"/>
    </xf>
    <xf numFmtId="0" fontId="16" fillId="26" borderId="21" xfId="0" applyFont="1" applyFill="1" applyBorder="1" applyAlignment="1">
      <alignment horizontal="center" wrapText="1"/>
    </xf>
    <xf numFmtId="0" fontId="0" fillId="14" borderId="3" xfId="0" applyFont="1" applyFill="1" applyBorder="1" applyAlignment="1">
      <alignment horizontal="center" wrapText="1"/>
    </xf>
    <xf numFmtId="0" fontId="0" fillId="15" borderId="3" xfId="0" applyFont="1" applyFill="1" applyBorder="1" applyAlignment="1">
      <alignment horizontal="center" wrapText="1"/>
    </xf>
    <xf numFmtId="0" fontId="0" fillId="0" borderId="0" xfId="0" applyFont="1" applyAlignment="1">
      <alignment horizontal="center"/>
    </xf>
    <xf numFmtId="169" fontId="2" fillId="3" borderId="4" xfId="0" applyNumberFormat="1" applyFont="1" applyFill="1" applyBorder="1" applyAlignment="1">
      <alignment horizontal="center" vertical="center" wrapText="1"/>
    </xf>
    <xf numFmtId="9" fontId="6" fillId="27" borderId="4" xfId="3" applyFont="1" applyFill="1" applyBorder="1" applyAlignment="1">
      <alignment horizontal="center" vertical="center" wrapText="1"/>
    </xf>
    <xf numFmtId="9" fontId="0" fillId="15" borderId="7" xfId="3" applyFont="1" applyFill="1" applyBorder="1" applyAlignment="1">
      <alignment horizontal="center" vertical="center" wrapText="1"/>
    </xf>
    <xf numFmtId="0" fontId="5" fillId="6" borderId="5" xfId="0" applyFont="1" applyFill="1" applyBorder="1" applyAlignment="1">
      <alignment horizontal="center" vertical="center" wrapText="1"/>
    </xf>
    <xf numFmtId="1" fontId="2" fillId="28" borderId="4" xfId="0" applyNumberFormat="1" applyFont="1" applyFill="1" applyBorder="1" applyAlignment="1">
      <alignment horizontal="center" vertical="center" wrapText="1"/>
    </xf>
    <xf numFmtId="1" fontId="0" fillId="30" borderId="4" xfId="3" applyNumberFormat="1" applyFont="1" applyFill="1" applyBorder="1" applyAlignment="1">
      <alignment horizontal="center" vertical="center" wrapText="1"/>
    </xf>
    <xf numFmtId="1" fontId="0" fillId="28" borderId="4" xfId="3" applyNumberFormat="1" applyFont="1" applyFill="1" applyBorder="1" applyAlignment="1">
      <alignment horizontal="center" vertical="center" wrapText="1"/>
    </xf>
    <xf numFmtId="1" fontId="0" fillId="28" borderId="5" xfId="3" applyNumberFormat="1" applyFont="1" applyFill="1" applyBorder="1" applyAlignment="1">
      <alignment horizontal="center" vertical="center" wrapText="1"/>
    </xf>
    <xf numFmtId="1" fontId="5" fillId="28" borderId="0" xfId="0" applyNumberFormat="1" applyFont="1" applyFill="1" applyAlignment="1">
      <alignment horizontal="center" wrapText="1"/>
    </xf>
    <xf numFmtId="0" fontId="0" fillId="13" borderId="4" xfId="0" applyFill="1" applyBorder="1" applyAlignment="1">
      <alignment vertical="center" wrapText="1"/>
    </xf>
    <xf numFmtId="0" fontId="8" fillId="25" borderId="21" xfId="4" applyFill="1" applyBorder="1" applyAlignment="1">
      <alignment horizontal="center" vertical="center" wrapText="1"/>
    </xf>
    <xf numFmtId="0" fontId="0" fillId="12" borderId="4" xfId="0" applyFill="1" applyBorder="1" applyAlignment="1">
      <alignment vertical="center" wrapText="1"/>
    </xf>
    <xf numFmtId="0" fontId="15" fillId="25" borderId="4"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0" fillId="10" borderId="4" xfId="0" applyFill="1" applyBorder="1" applyAlignment="1">
      <alignment vertical="center" wrapText="1"/>
    </xf>
    <xf numFmtId="0" fontId="15" fillId="25" borderId="16" xfId="0" applyFont="1" applyFill="1" applyBorder="1" applyAlignment="1">
      <alignment horizontal="center" vertical="center" wrapText="1"/>
    </xf>
    <xf numFmtId="0" fontId="15" fillId="23" borderId="4" xfId="0" applyFont="1" applyFill="1" applyBorder="1" applyAlignment="1">
      <alignment horizontal="center" vertical="center" wrapText="1"/>
    </xf>
    <xf numFmtId="0" fontId="15" fillId="24" borderId="4" xfId="0" applyFont="1" applyFill="1" applyBorder="1" applyAlignment="1">
      <alignment horizontal="center" vertical="center" wrapText="1"/>
    </xf>
    <xf numFmtId="0" fontId="15" fillId="22" borderId="4" xfId="0" applyFont="1" applyFill="1" applyBorder="1" applyAlignment="1">
      <alignment horizontal="center" vertical="center" wrapText="1"/>
    </xf>
    <xf numFmtId="170" fontId="15" fillId="22" borderId="4" xfId="0" applyNumberFormat="1" applyFont="1" applyFill="1" applyBorder="1" applyAlignment="1">
      <alignment horizontal="center" vertical="center" wrapText="1"/>
    </xf>
    <xf numFmtId="0" fontId="15" fillId="21" borderId="4" xfId="0" applyFont="1" applyFill="1" applyBorder="1" applyAlignment="1">
      <alignment horizontal="center" vertical="center" wrapText="1"/>
    </xf>
    <xf numFmtId="0" fontId="15" fillId="20" borderId="4"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20" borderId="3" xfId="0" applyFont="1" applyFill="1" applyBorder="1" applyAlignment="1">
      <alignment horizontal="center" vertical="center" wrapText="1"/>
    </xf>
    <xf numFmtId="0" fontId="15" fillId="21" borderId="3" xfId="0" applyFont="1" applyFill="1" applyBorder="1" applyAlignment="1">
      <alignment horizontal="center" vertical="center" wrapText="1"/>
    </xf>
    <xf numFmtId="0" fontId="15" fillId="22" borderId="3" xfId="0" applyFont="1" applyFill="1" applyBorder="1" applyAlignment="1">
      <alignment horizontal="center" vertical="center" wrapText="1"/>
    </xf>
    <xf numFmtId="170" fontId="15" fillId="22" borderId="3" xfId="0" applyNumberFormat="1" applyFont="1" applyFill="1" applyBorder="1" applyAlignment="1">
      <alignment horizontal="center" vertical="center" wrapText="1"/>
    </xf>
    <xf numFmtId="0" fontId="15" fillId="23" borderId="3" xfId="0" applyFont="1" applyFill="1" applyBorder="1" applyAlignment="1">
      <alignment horizontal="center" vertical="center" wrapText="1"/>
    </xf>
    <xf numFmtId="0" fontId="15" fillId="24" borderId="3" xfId="0" applyFont="1" applyFill="1" applyBorder="1" applyAlignment="1">
      <alignment horizontal="center" vertical="center" wrapText="1"/>
    </xf>
    <xf numFmtId="0" fontId="15" fillId="17" borderId="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2" fillId="0" borderId="4" xfId="0" applyFont="1" applyBorder="1" applyAlignment="1">
      <alignment horizontal="center" vertical="center" wrapText="1"/>
    </xf>
    <xf numFmtId="9" fontId="2" fillId="0" borderId="4" xfId="3" applyFont="1" applyBorder="1" applyAlignment="1">
      <alignment horizontal="center" vertical="center" wrapText="1"/>
    </xf>
    <xf numFmtId="0" fontId="15" fillId="22" borderId="4" xfId="0" applyNumberFormat="1" applyFont="1" applyFill="1" applyBorder="1" applyAlignment="1">
      <alignment horizontal="center" vertical="center" wrapText="1"/>
    </xf>
    <xf numFmtId="0" fontId="5" fillId="38" borderId="4" xfId="0" applyFont="1" applyFill="1" applyBorder="1" applyAlignment="1">
      <alignment horizontal="center" vertical="center" wrapText="1"/>
    </xf>
    <xf numFmtId="0" fontId="6" fillId="38" borderId="4" xfId="0" applyFont="1" applyFill="1" applyBorder="1" applyAlignment="1">
      <alignment horizontal="center" vertical="center" wrapText="1"/>
    </xf>
    <xf numFmtId="0" fontId="7" fillId="38" borderId="4" xfId="0" applyFont="1" applyFill="1" applyBorder="1" applyAlignment="1">
      <alignment wrapText="1"/>
    </xf>
    <xf numFmtId="0" fontId="7" fillId="38" borderId="4" xfId="0" applyFont="1" applyFill="1" applyBorder="1" applyAlignment="1">
      <alignment horizontal="center" vertical="center" wrapText="1"/>
    </xf>
    <xf numFmtId="166" fontId="0" fillId="38" borderId="0" xfId="2" applyFont="1" applyFill="1" applyBorder="1" applyAlignment="1">
      <alignment wrapText="1"/>
    </xf>
    <xf numFmtId="0" fontId="0" fillId="38" borderId="0" xfId="0" applyFill="1" applyAlignment="1">
      <alignment wrapText="1"/>
    </xf>
    <xf numFmtId="0" fontId="5" fillId="38" borderId="5" xfId="0" applyFont="1" applyFill="1" applyBorder="1" applyAlignment="1">
      <alignment horizontal="center" vertical="center" wrapText="1"/>
    </xf>
    <xf numFmtId="0" fontId="8" fillId="39" borderId="21" xfId="4" applyFill="1" applyBorder="1" applyAlignment="1">
      <alignment horizontal="center" vertical="center" wrapText="1"/>
    </xf>
    <xf numFmtId="0" fontId="0" fillId="38" borderId="4" xfId="0" applyFill="1" applyBorder="1" applyAlignment="1">
      <alignment vertical="center" wrapText="1"/>
    </xf>
    <xf numFmtId="0" fontId="0" fillId="39" borderId="21" xfId="0" applyFill="1" applyBorder="1" applyAlignment="1">
      <alignment horizontal="center" vertical="center" wrapText="1"/>
    </xf>
    <xf numFmtId="0" fontId="16" fillId="40" borderId="8" xfId="0" applyFont="1" applyFill="1" applyBorder="1" applyAlignment="1">
      <alignment wrapText="1"/>
    </xf>
    <xf numFmtId="0" fontId="16" fillId="40" borderId="21" xfId="0" applyFont="1" applyFill="1" applyBorder="1" applyAlignment="1">
      <alignment horizontal="center" wrapText="1"/>
    </xf>
    <xf numFmtId="0" fontId="15" fillId="40" borderId="3" xfId="0" applyFont="1" applyFill="1" applyBorder="1" applyAlignment="1">
      <alignment horizontal="center" vertical="center" wrapText="1"/>
    </xf>
    <xf numFmtId="0" fontId="15" fillId="40" borderId="4" xfId="0" applyFont="1" applyFill="1" applyBorder="1" applyAlignment="1">
      <alignment horizontal="center" vertical="center" wrapText="1"/>
    </xf>
    <xf numFmtId="167" fontId="12" fillId="38" borderId="4" xfId="1" applyFont="1" applyFill="1" applyBorder="1" applyAlignment="1">
      <alignment wrapText="1"/>
    </xf>
    <xf numFmtId="0" fontId="8" fillId="41" borderId="21" xfId="4" applyFill="1" applyBorder="1" applyAlignment="1">
      <alignment horizontal="center" vertical="center" wrapText="1"/>
    </xf>
    <xf numFmtId="0" fontId="8" fillId="42" borderId="21" xfId="4" applyFill="1" applyBorder="1" applyAlignment="1">
      <alignment horizontal="center" vertical="center" wrapText="1"/>
    </xf>
    <xf numFmtId="0" fontId="5" fillId="38" borderId="4" xfId="0" applyFont="1" applyFill="1" applyBorder="1" applyAlignment="1">
      <alignment vertical="center" wrapText="1"/>
    </xf>
    <xf numFmtId="3" fontId="6" fillId="38" borderId="4" xfId="0" applyNumberFormat="1" applyFont="1" applyFill="1" applyBorder="1" applyAlignment="1">
      <alignment horizontal="center" vertical="center" wrapText="1"/>
    </xf>
    <xf numFmtId="0" fontId="0" fillId="38" borderId="4" xfId="0" applyFill="1" applyBorder="1" applyAlignment="1">
      <alignment horizontal="center" vertical="center" wrapText="1"/>
    </xf>
    <xf numFmtId="9" fontId="0" fillId="38" borderId="4" xfId="3" applyFont="1" applyFill="1" applyBorder="1" applyAlignment="1">
      <alignment horizontal="center" vertical="center" wrapText="1"/>
    </xf>
    <xf numFmtId="10" fontId="0" fillId="38" borderId="4" xfId="3" applyNumberFormat="1" applyFont="1" applyFill="1" applyBorder="1" applyAlignment="1">
      <alignment horizontal="center" vertical="center" wrapText="1"/>
    </xf>
    <xf numFmtId="1" fontId="0" fillId="38" borderId="4" xfId="3" applyNumberFormat="1" applyFont="1" applyFill="1" applyBorder="1" applyAlignment="1">
      <alignment horizontal="center" vertical="center" wrapText="1"/>
    </xf>
    <xf numFmtId="1" fontId="5" fillId="38" borderId="4" xfId="0" applyNumberFormat="1" applyFont="1" applyFill="1" applyBorder="1" applyAlignment="1">
      <alignment horizontal="center" vertical="center" wrapText="1"/>
    </xf>
    <xf numFmtId="0" fontId="0" fillId="38" borderId="4" xfId="0" applyFont="1" applyFill="1" applyBorder="1" applyAlignment="1">
      <alignment wrapText="1"/>
    </xf>
    <xf numFmtId="0" fontId="0" fillId="38" borderId="3" xfId="0" applyFont="1" applyFill="1" applyBorder="1" applyAlignment="1">
      <alignment horizontal="center" wrapText="1"/>
    </xf>
    <xf numFmtId="0" fontId="0" fillId="38" borderId="3" xfId="0" applyFill="1" applyBorder="1" applyAlignment="1">
      <alignment horizontal="center" vertical="center" wrapText="1"/>
    </xf>
    <xf numFmtId="173" fontId="6" fillId="38" borderId="4" xfId="3" applyNumberFormat="1" applyFont="1" applyFill="1" applyBorder="1" applyAlignment="1">
      <alignment horizontal="center" vertical="center" wrapText="1"/>
    </xf>
    <xf numFmtId="0" fontId="0" fillId="38" borderId="3" xfId="0" applyFill="1" applyBorder="1" applyAlignment="1">
      <alignment wrapText="1"/>
    </xf>
    <xf numFmtId="0" fontId="15" fillId="18" borderId="4" xfId="0" applyFont="1" applyFill="1" applyBorder="1" applyAlignment="1">
      <alignment horizontal="center" vertical="center" wrapText="1"/>
    </xf>
    <xf numFmtId="9" fontId="0" fillId="15" borderId="7" xfId="3" applyFont="1" applyFill="1" applyBorder="1" applyAlignment="1">
      <alignment horizontal="center" vertical="center" wrapText="1"/>
    </xf>
    <xf numFmtId="1" fontId="0" fillId="30" borderId="4" xfId="3" applyNumberFormat="1" applyFont="1" applyFill="1" applyBorder="1" applyAlignment="1">
      <alignment horizontal="center" vertical="center" wrapText="1"/>
    </xf>
    <xf numFmtId="167" fontId="6" fillId="3" borderId="4" xfId="1" applyFont="1" applyFill="1" applyBorder="1" applyAlignment="1">
      <alignment horizontal="center" vertical="center" wrapText="1"/>
    </xf>
    <xf numFmtId="0" fontId="0" fillId="3" borderId="3" xfId="0" applyFill="1" applyBorder="1" applyAlignment="1">
      <alignment wrapText="1"/>
    </xf>
    <xf numFmtId="9" fontId="6" fillId="3" borderId="4" xfId="3" applyFont="1" applyFill="1" applyBorder="1" applyAlignment="1">
      <alignment horizontal="center" vertical="center" wrapText="1"/>
    </xf>
    <xf numFmtId="0" fontId="5" fillId="3" borderId="0" xfId="0" applyFont="1" applyFill="1" applyAlignment="1">
      <alignment horizontal="center" wrapText="1"/>
    </xf>
    <xf numFmtId="0" fontId="0" fillId="3" borderId="0" xfId="0" applyFill="1" applyAlignment="1">
      <alignment horizontal="center" wrapText="1"/>
    </xf>
    <xf numFmtId="9" fontId="5" fillId="3" borderId="0" xfId="3" applyFont="1" applyFill="1" applyAlignment="1">
      <alignment horizontal="center" wrapText="1"/>
    </xf>
    <xf numFmtId="0" fontId="0" fillId="3" borderId="0" xfId="0" applyFill="1"/>
    <xf numFmtId="0" fontId="8" fillId="19" borderId="21" xfId="4" applyFill="1" applyBorder="1" applyAlignment="1">
      <alignment horizontal="center" wrapText="1"/>
    </xf>
    <xf numFmtId="9" fontId="6" fillId="0" borderId="4" xfId="3" applyFont="1" applyFill="1" applyBorder="1" applyAlignment="1">
      <alignment horizontal="center" vertical="center" wrapText="1"/>
    </xf>
    <xf numFmtId="0" fontId="15" fillId="0" borderId="4" xfId="0" applyFont="1" applyFill="1" applyBorder="1" applyAlignment="1">
      <alignment horizontal="center" vertical="center" wrapText="1"/>
    </xf>
    <xf numFmtId="167" fontId="6" fillId="3" borderId="3" xfId="1"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9"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0" borderId="0" xfId="0" applyFill="1" applyAlignment="1">
      <alignment wrapText="1"/>
    </xf>
    <xf numFmtId="166" fontId="0" fillId="0" borderId="0" xfId="2" applyFont="1" applyFill="1" applyBorder="1" applyAlignment="1">
      <alignment wrapText="1"/>
    </xf>
    <xf numFmtId="166" fontId="0" fillId="0" borderId="0" xfId="0" applyNumberFormat="1" applyFill="1" applyAlignment="1">
      <alignment wrapText="1"/>
    </xf>
    <xf numFmtId="0" fontId="10" fillId="0" borderId="0" xfId="0" applyFont="1" applyFill="1" applyAlignment="1">
      <alignment wrapText="1"/>
    </xf>
    <xf numFmtId="166" fontId="10" fillId="0" borderId="0" xfId="2" applyFont="1" applyFill="1" applyBorder="1" applyAlignment="1">
      <alignment wrapText="1"/>
    </xf>
    <xf numFmtId="171" fontId="8" fillId="20" borderId="21" xfId="4" applyNumberFormat="1" applyFill="1" applyBorder="1" applyAlignment="1">
      <alignment horizontal="center" vertical="center" wrapText="1"/>
    </xf>
    <xf numFmtId="0" fontId="16" fillId="19" borderId="8"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15" fillId="18" borderId="7" xfId="0" applyFont="1" applyFill="1" applyBorder="1" applyAlignment="1">
      <alignment horizontal="center" vertical="center" wrapText="1"/>
    </xf>
    <xf numFmtId="9" fontId="0" fillId="15" borderId="7" xfId="3" applyFont="1" applyFill="1" applyBorder="1" applyAlignment="1">
      <alignment horizontal="center" vertical="center" wrapText="1"/>
    </xf>
    <xf numFmtId="1" fontId="5" fillId="0" borderId="0" xfId="3" applyNumberFormat="1" applyFont="1" applyAlignment="1">
      <alignment horizontal="center" wrapText="1"/>
    </xf>
    <xf numFmtId="1" fontId="2" fillId="49" borderId="4" xfId="3" applyNumberFormat="1" applyFont="1" applyFill="1" applyBorder="1" applyAlignment="1">
      <alignment horizontal="center" vertical="center" wrapText="1"/>
    </xf>
    <xf numFmtId="1" fontId="0" fillId="51" borderId="4" xfId="3" applyNumberFormat="1" applyFont="1" applyFill="1" applyBorder="1" applyAlignment="1">
      <alignment horizontal="center" vertical="center" wrapText="1"/>
    </xf>
    <xf numFmtId="1" fontId="0" fillId="49" borderId="4" xfId="3" applyNumberFormat="1" applyFont="1" applyFill="1" applyBorder="1" applyAlignment="1">
      <alignment horizontal="center" vertical="center" wrapText="1"/>
    </xf>
    <xf numFmtId="1" fontId="0" fillId="49" borderId="7" xfId="3" applyNumberFormat="1" applyFont="1" applyFill="1" applyBorder="1" applyAlignment="1">
      <alignment horizontal="center" vertical="center" wrapText="1"/>
    </xf>
    <xf numFmtId="9" fontId="0" fillId="38" borderId="4" xfId="3" applyNumberFormat="1" applyFont="1" applyFill="1" applyBorder="1" applyAlignment="1">
      <alignment horizontal="center" vertical="center" wrapText="1"/>
    </xf>
    <xf numFmtId="9" fontId="6" fillId="25" borderId="4" xfId="3" applyFont="1" applyFill="1" applyBorder="1" applyAlignment="1">
      <alignment horizontal="center" vertical="center" wrapText="1"/>
    </xf>
    <xf numFmtId="9" fontId="15" fillId="25" borderId="4" xfId="3" applyFont="1" applyFill="1" applyBorder="1" applyAlignment="1">
      <alignment horizontal="center" vertical="center" wrapText="1"/>
    </xf>
    <xf numFmtId="9" fontId="0" fillId="15" borderId="5" xfId="3" applyFont="1" applyFill="1" applyBorder="1" applyAlignment="1">
      <alignment horizontal="center" vertical="center" wrapText="1"/>
    </xf>
    <xf numFmtId="9" fontId="0" fillId="15" borderId="7" xfId="3" applyFont="1" applyFill="1" applyBorder="1" applyAlignment="1">
      <alignment horizontal="center" vertical="center" wrapText="1"/>
    </xf>
    <xf numFmtId="1" fontId="6" fillId="58" borderId="5" xfId="3" applyNumberFormat="1" applyFont="1" applyFill="1" applyBorder="1" applyAlignment="1">
      <alignment horizontal="center" vertical="center" wrapText="1"/>
    </xf>
    <xf numFmtId="1" fontId="6" fillId="58" borderId="7" xfId="3" applyNumberFormat="1" applyFont="1" applyFill="1" applyBorder="1" applyAlignment="1">
      <alignment horizontal="center" vertical="center" wrapText="1"/>
    </xf>
    <xf numFmtId="9" fontId="6" fillId="26" borderId="5" xfId="3" applyFont="1" applyFill="1" applyBorder="1" applyAlignment="1">
      <alignment horizontal="center" vertical="center" wrapText="1"/>
    </xf>
    <xf numFmtId="9" fontId="6" fillId="26" borderId="7" xfId="3" applyFont="1" applyFill="1" applyBorder="1" applyAlignment="1">
      <alignment horizontal="center" vertical="center" wrapText="1"/>
    </xf>
    <xf numFmtId="1" fontId="6" fillId="58" borderId="6" xfId="3" applyNumberFormat="1" applyFont="1" applyFill="1" applyBorder="1" applyAlignment="1">
      <alignment horizontal="center" vertical="center" wrapText="1"/>
    </xf>
    <xf numFmtId="9" fontId="6" fillId="26" borderId="6" xfId="3" applyFont="1" applyFill="1" applyBorder="1" applyAlignment="1">
      <alignment horizontal="center" vertical="center" wrapText="1"/>
    </xf>
    <xf numFmtId="9" fontId="0" fillId="19" borderId="5" xfId="3" applyFont="1" applyFill="1" applyBorder="1" applyAlignment="1">
      <alignment horizontal="center" vertical="center" wrapText="1"/>
    </xf>
    <xf numFmtId="9" fontId="0" fillId="19" borderId="6" xfId="3" applyFont="1" applyFill="1" applyBorder="1" applyAlignment="1">
      <alignment horizontal="center" vertical="center" wrapText="1"/>
    </xf>
    <xf numFmtId="9" fontId="0" fillId="19" borderId="7" xfId="3" applyFont="1" applyFill="1" applyBorder="1" applyAlignment="1">
      <alignment horizontal="center" vertical="center" wrapText="1"/>
    </xf>
    <xf numFmtId="1" fontId="0" fillId="54" borderId="5" xfId="3" applyNumberFormat="1" applyFont="1" applyFill="1" applyBorder="1" applyAlignment="1">
      <alignment horizontal="center" vertical="center" wrapText="1"/>
    </xf>
    <xf numFmtId="1" fontId="0" fillId="54" borderId="6" xfId="3" applyNumberFormat="1" applyFont="1" applyFill="1" applyBorder="1" applyAlignment="1">
      <alignment horizontal="center" vertical="center" wrapText="1"/>
    </xf>
    <xf numFmtId="1" fontId="0" fillId="54" borderId="7" xfId="3" applyNumberFormat="1" applyFont="1" applyFill="1" applyBorder="1" applyAlignment="1">
      <alignment horizontal="center" vertical="center" wrapText="1"/>
    </xf>
    <xf numFmtId="9" fontId="0" fillId="21" borderId="5" xfId="3" applyFont="1" applyFill="1" applyBorder="1" applyAlignment="1">
      <alignment horizontal="center" vertical="center" wrapText="1"/>
    </xf>
    <xf numFmtId="9" fontId="0" fillId="21" borderId="6" xfId="3" applyFont="1" applyFill="1" applyBorder="1" applyAlignment="1">
      <alignment horizontal="center" vertical="center" wrapText="1"/>
    </xf>
    <xf numFmtId="9" fontId="0" fillId="21" borderId="7" xfId="3" applyFont="1" applyFill="1" applyBorder="1" applyAlignment="1">
      <alignment horizontal="center" vertical="center" wrapText="1"/>
    </xf>
    <xf numFmtId="1" fontId="0" fillId="52" borderId="4" xfId="3" applyNumberFormat="1" applyFont="1" applyFill="1" applyBorder="1" applyAlignment="1">
      <alignment horizontal="center" vertical="center" wrapText="1"/>
    </xf>
    <xf numFmtId="9" fontId="0" fillId="19" borderId="4" xfId="3" applyFont="1" applyFill="1" applyBorder="1" applyAlignment="1">
      <alignment horizontal="center" vertical="center" wrapText="1"/>
    </xf>
    <xf numFmtId="1" fontId="0" fillId="53" borderId="4" xfId="3" applyNumberFormat="1" applyFont="1" applyFill="1" applyBorder="1" applyAlignment="1">
      <alignment horizontal="center" vertical="center" wrapText="1"/>
    </xf>
    <xf numFmtId="9" fontId="0" fillId="20" borderId="4" xfId="3" applyFont="1" applyFill="1" applyBorder="1" applyAlignment="1">
      <alignment horizontal="center" vertical="center" wrapText="1"/>
    </xf>
    <xf numFmtId="9" fontId="0" fillId="17" borderId="4" xfId="3" applyFont="1" applyFill="1" applyBorder="1" applyAlignment="1">
      <alignment horizontal="center" vertical="center" wrapText="1"/>
    </xf>
    <xf numFmtId="10" fontId="0" fillId="17" borderId="4" xfId="3" applyNumberFormat="1" applyFont="1" applyFill="1" applyBorder="1" applyAlignment="1">
      <alignment horizontal="center" vertical="center" wrapText="1"/>
    </xf>
    <xf numFmtId="1" fontId="0" fillId="50" borderId="5" xfId="3" applyNumberFormat="1" applyFont="1" applyFill="1" applyBorder="1" applyAlignment="1">
      <alignment horizontal="center" vertical="center" wrapText="1"/>
    </xf>
    <xf numFmtId="1" fontId="0" fillId="50" borderId="6" xfId="3" applyNumberFormat="1" applyFont="1" applyFill="1" applyBorder="1" applyAlignment="1">
      <alignment horizontal="center" vertical="center" wrapText="1"/>
    </xf>
    <xf numFmtId="1" fontId="0" fillId="50" borderId="7" xfId="3" applyNumberFormat="1" applyFont="1" applyFill="1" applyBorder="1" applyAlignment="1">
      <alignment horizontal="center" vertical="center" wrapText="1"/>
    </xf>
    <xf numFmtId="9" fontId="0" fillId="18" borderId="4" xfId="3" applyFont="1" applyFill="1" applyBorder="1" applyAlignment="1">
      <alignment horizontal="center" vertical="center" wrapText="1"/>
    </xf>
    <xf numFmtId="1" fontId="0" fillId="51" borderId="5" xfId="3" applyNumberFormat="1" applyFont="1" applyFill="1" applyBorder="1" applyAlignment="1">
      <alignment horizontal="center" vertical="center" wrapText="1"/>
    </xf>
    <xf numFmtId="1" fontId="0" fillId="51" borderId="6" xfId="3" applyNumberFormat="1" applyFont="1" applyFill="1" applyBorder="1" applyAlignment="1">
      <alignment horizontal="center" vertical="center" wrapText="1"/>
    </xf>
    <xf numFmtId="1" fontId="0" fillId="51" borderId="7" xfId="3" applyNumberFormat="1" applyFont="1" applyFill="1" applyBorder="1" applyAlignment="1">
      <alignment horizontal="center" vertical="center" wrapText="1"/>
    </xf>
    <xf numFmtId="10" fontId="0" fillId="17" borderId="5" xfId="3" applyNumberFormat="1" applyFont="1" applyFill="1" applyBorder="1" applyAlignment="1">
      <alignment horizontal="center" vertical="center" wrapText="1"/>
    </xf>
    <xf numFmtId="10" fontId="0" fillId="17" borderId="6" xfId="3" applyNumberFormat="1" applyFont="1" applyFill="1" applyBorder="1" applyAlignment="1">
      <alignment horizontal="center" vertical="center" wrapText="1"/>
    </xf>
    <xf numFmtId="10" fontId="0" fillId="17" borderId="7" xfId="3" applyNumberFormat="1" applyFont="1" applyFill="1" applyBorder="1" applyAlignment="1">
      <alignment horizontal="center" vertical="center" wrapText="1"/>
    </xf>
    <xf numFmtId="9" fontId="0" fillId="17" borderId="5" xfId="3" applyNumberFormat="1" applyFont="1" applyFill="1" applyBorder="1" applyAlignment="1">
      <alignment horizontal="center" vertical="center" wrapText="1"/>
    </xf>
    <xf numFmtId="9" fontId="0" fillId="17" borderId="6" xfId="3" applyNumberFormat="1" applyFont="1" applyFill="1" applyBorder="1" applyAlignment="1">
      <alignment horizontal="center" vertical="center" wrapText="1"/>
    </xf>
    <xf numFmtId="9" fontId="0" fillId="17" borderId="7" xfId="3"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9" fontId="5" fillId="4" borderId="5" xfId="3" applyFont="1" applyFill="1" applyBorder="1" applyAlignment="1">
      <alignment horizontal="center" vertical="center" wrapText="1"/>
    </xf>
    <xf numFmtId="9" fontId="5" fillId="4" borderId="6" xfId="3" applyFont="1" applyFill="1" applyBorder="1" applyAlignment="1">
      <alignment horizontal="center" vertical="center" wrapText="1"/>
    </xf>
    <xf numFmtId="9" fontId="5" fillId="4" borderId="7" xfId="3"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3" fontId="5" fillId="4" borderId="6" xfId="0" applyNumberFormat="1" applyFont="1" applyFill="1" applyBorder="1" applyAlignment="1">
      <alignment horizontal="center" vertical="center" wrapText="1"/>
    </xf>
    <xf numFmtId="3" fontId="5" fillId="4" borderId="7" xfId="0" applyNumberFormat="1" applyFont="1" applyFill="1" applyBorder="1" applyAlignment="1">
      <alignment horizontal="center" vertical="center" wrapText="1"/>
    </xf>
    <xf numFmtId="9" fontId="5" fillId="6" borderId="5" xfId="3" applyFont="1" applyFill="1" applyBorder="1" applyAlignment="1">
      <alignment horizontal="center" vertical="center" wrapText="1"/>
    </xf>
    <xf numFmtId="9" fontId="5" fillId="6" borderId="6" xfId="3" applyFont="1" applyFill="1" applyBorder="1" applyAlignment="1">
      <alignment horizontal="center" vertical="center" wrapText="1"/>
    </xf>
    <xf numFmtId="9" fontId="5" fillId="6" borderId="7" xfId="3" applyFont="1" applyFill="1" applyBorder="1" applyAlignment="1">
      <alignment horizontal="center" vertical="center" wrapText="1"/>
    </xf>
    <xf numFmtId="0" fontId="0" fillId="22" borderId="17" xfId="0" applyFill="1" applyBorder="1" applyAlignment="1">
      <alignment horizontal="center" vertical="center" wrapText="1"/>
    </xf>
    <xf numFmtId="0" fontId="0" fillId="22" borderId="18" xfId="0" applyFill="1" applyBorder="1" applyAlignment="1">
      <alignment horizontal="center" vertical="center" wrapText="1"/>
    </xf>
    <xf numFmtId="0" fontId="0" fillId="22" borderId="19" xfId="0" applyFill="1" applyBorder="1" applyAlignment="1">
      <alignment horizontal="center" vertical="center" wrapText="1"/>
    </xf>
    <xf numFmtId="9" fontId="0" fillId="23" borderId="5" xfId="3" applyFont="1" applyFill="1" applyBorder="1" applyAlignment="1">
      <alignment horizontal="center" vertical="center" wrapText="1"/>
    </xf>
    <xf numFmtId="9" fontId="0" fillId="23" borderId="6" xfId="3" applyFont="1" applyFill="1" applyBorder="1" applyAlignment="1">
      <alignment horizontal="center" vertical="center" wrapText="1"/>
    </xf>
    <xf numFmtId="9" fontId="0" fillId="23" borderId="7" xfId="3" applyFont="1" applyFill="1" applyBorder="1" applyAlignment="1">
      <alignment horizontal="center" vertical="center" wrapText="1"/>
    </xf>
    <xf numFmtId="9" fontId="6" fillId="25" borderId="5" xfId="3" applyFont="1" applyFill="1" applyBorder="1" applyAlignment="1">
      <alignment horizontal="center" vertical="center" wrapText="1"/>
    </xf>
    <xf numFmtId="9" fontId="6" fillId="25" borderId="6" xfId="3" applyFont="1" applyFill="1" applyBorder="1" applyAlignment="1">
      <alignment horizontal="center" vertical="center" wrapText="1"/>
    </xf>
    <xf numFmtId="9" fontId="6" fillId="25" borderId="7" xfId="3" applyFont="1" applyFill="1" applyBorder="1" applyAlignment="1">
      <alignment horizontal="center" vertical="center" wrapText="1"/>
    </xf>
    <xf numFmtId="0" fontId="15" fillId="18" borderId="22" xfId="0" applyFont="1" applyFill="1" applyBorder="1" applyAlignment="1">
      <alignment horizontal="center" vertical="center" wrapText="1"/>
    </xf>
    <xf numFmtId="0" fontId="15" fillId="18" borderId="23" xfId="0" applyFont="1" applyFill="1" applyBorder="1" applyAlignment="1">
      <alignment horizontal="center" vertical="center" wrapText="1"/>
    </xf>
    <xf numFmtId="0" fontId="15" fillId="18" borderId="24" xfId="0" applyFont="1" applyFill="1" applyBorder="1" applyAlignment="1">
      <alignment horizontal="center" vertical="center" wrapText="1"/>
    </xf>
    <xf numFmtId="0" fontId="15" fillId="18" borderId="4" xfId="0" applyFont="1" applyFill="1" applyBorder="1" applyAlignment="1">
      <alignment horizontal="center" vertical="center" wrapText="1"/>
    </xf>
    <xf numFmtId="1" fontId="0" fillId="34" borderId="5" xfId="3" applyNumberFormat="1" applyFont="1" applyFill="1" applyBorder="1" applyAlignment="1">
      <alignment horizontal="center" vertical="center" wrapText="1"/>
    </xf>
    <xf numFmtId="1" fontId="0" fillId="34" borderId="6" xfId="3" applyNumberFormat="1" applyFont="1" applyFill="1" applyBorder="1" applyAlignment="1">
      <alignment horizontal="center" vertical="center" wrapText="1"/>
    </xf>
    <xf numFmtId="1" fontId="0" fillId="34" borderId="7" xfId="3" applyNumberFormat="1" applyFont="1" applyFill="1" applyBorder="1" applyAlignment="1">
      <alignment horizontal="center" vertical="center" wrapText="1"/>
    </xf>
    <xf numFmtId="1" fontId="0" fillId="35" borderId="5" xfId="3" applyNumberFormat="1" applyFont="1" applyFill="1" applyBorder="1" applyAlignment="1">
      <alignment horizontal="center" vertical="center" wrapText="1"/>
    </xf>
    <xf numFmtId="1" fontId="0" fillId="35" borderId="6" xfId="3" applyNumberFormat="1" applyFont="1" applyFill="1" applyBorder="1" applyAlignment="1">
      <alignment horizontal="center" vertical="center" wrapText="1"/>
    </xf>
    <xf numFmtId="1" fontId="0" fillId="35" borderId="7" xfId="3" applyNumberFormat="1" applyFont="1" applyFill="1" applyBorder="1" applyAlignment="1">
      <alignment horizontal="center" vertical="center" wrapText="1"/>
    </xf>
    <xf numFmtId="1" fontId="6" fillId="36" borderId="5" xfId="3" applyNumberFormat="1" applyFont="1" applyFill="1" applyBorder="1" applyAlignment="1">
      <alignment horizontal="center" vertical="center" wrapText="1"/>
    </xf>
    <xf numFmtId="1" fontId="6" fillId="36" borderId="6" xfId="3" applyNumberFormat="1" applyFont="1" applyFill="1" applyBorder="1" applyAlignment="1">
      <alignment horizontal="center" vertical="center" wrapText="1"/>
    </xf>
    <xf numFmtId="1" fontId="15" fillId="36" borderId="6" xfId="3" applyNumberFormat="1" applyFont="1" applyFill="1" applyBorder="1" applyAlignment="1">
      <alignment horizontal="center" vertical="center" wrapText="1"/>
    </xf>
    <xf numFmtId="1" fontId="15" fillId="36" borderId="7" xfId="3" applyNumberFormat="1" applyFont="1" applyFill="1" applyBorder="1" applyAlignment="1">
      <alignment horizontal="center" vertical="center" wrapText="1"/>
    </xf>
    <xf numFmtId="1" fontId="6" fillId="37" borderId="4" xfId="3" applyNumberFormat="1" applyFont="1" applyFill="1" applyBorder="1" applyAlignment="1">
      <alignment horizontal="center" vertical="center" wrapText="1"/>
    </xf>
    <xf numFmtId="1" fontId="6" fillId="37" borderId="6" xfId="3" applyNumberFormat="1" applyFont="1" applyFill="1" applyBorder="1" applyAlignment="1">
      <alignment horizontal="center" vertical="center" wrapText="1"/>
    </xf>
    <xf numFmtId="1" fontId="6" fillId="37" borderId="7" xfId="3" applyNumberFormat="1" applyFont="1" applyFill="1" applyBorder="1" applyAlignment="1">
      <alignment horizontal="center" vertical="center" wrapText="1"/>
    </xf>
    <xf numFmtId="9" fontId="0" fillId="24" borderId="5" xfId="3" applyFont="1" applyFill="1" applyBorder="1" applyAlignment="1">
      <alignment horizontal="center" vertical="center" wrapText="1"/>
    </xf>
    <xf numFmtId="9" fontId="0" fillId="24" borderId="6" xfId="3" applyFont="1" applyFill="1" applyBorder="1" applyAlignment="1">
      <alignment horizontal="center" vertical="center" wrapText="1"/>
    </xf>
    <xf numFmtId="9" fontId="0" fillId="24" borderId="7" xfId="3" applyFont="1" applyFill="1" applyBorder="1" applyAlignment="1">
      <alignment horizontal="center" vertical="center" wrapText="1"/>
    </xf>
    <xf numFmtId="9" fontId="15" fillId="25" borderId="6" xfId="3" applyFont="1" applyFill="1" applyBorder="1" applyAlignment="1">
      <alignment horizontal="center" vertical="center" wrapText="1"/>
    </xf>
    <xf numFmtId="9" fontId="15" fillId="25" borderId="7" xfId="3" applyFont="1" applyFill="1" applyBorder="1" applyAlignment="1">
      <alignment horizontal="center" vertical="center" wrapText="1"/>
    </xf>
    <xf numFmtId="9" fontId="6" fillId="26" borderId="4" xfId="3" applyFont="1" applyFill="1" applyBorder="1" applyAlignment="1">
      <alignment horizontal="center" vertical="center" wrapText="1"/>
    </xf>
    <xf numFmtId="1" fontId="5" fillId="11" borderId="5" xfId="0" applyNumberFormat="1" applyFont="1" applyFill="1" applyBorder="1" applyAlignment="1">
      <alignment horizontal="center" vertical="center" wrapText="1"/>
    </xf>
    <xf numFmtId="1" fontId="5" fillId="11" borderId="6" xfId="0" applyNumberFormat="1" applyFont="1" applyFill="1" applyBorder="1" applyAlignment="1">
      <alignment horizontal="center" vertical="center" wrapText="1"/>
    </xf>
    <xf numFmtId="1" fontId="5" fillId="11" borderId="7" xfId="0" applyNumberFormat="1"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9" fontId="0" fillId="17" borderId="6" xfId="3" applyFont="1" applyFill="1" applyBorder="1" applyAlignment="1">
      <alignment horizontal="center" vertical="center" wrapText="1"/>
    </xf>
    <xf numFmtId="9" fontId="0" fillId="17" borderId="7" xfId="3" applyFont="1" applyFill="1" applyBorder="1" applyAlignment="1">
      <alignment horizontal="center" vertical="center" wrapText="1"/>
    </xf>
    <xf numFmtId="1" fontId="0" fillId="30" borderId="4" xfId="3" applyNumberFormat="1" applyFont="1" applyFill="1" applyBorder="1" applyAlignment="1">
      <alignment horizontal="center" vertical="center" wrapText="1"/>
    </xf>
    <xf numFmtId="1" fontId="0" fillId="31" borderId="5" xfId="3" applyNumberFormat="1" applyFont="1" applyFill="1" applyBorder="1" applyAlignment="1">
      <alignment horizontal="center" vertical="center" wrapText="1"/>
    </xf>
    <xf numFmtId="1" fontId="0" fillId="31" borderId="6" xfId="3" applyNumberFormat="1" applyFont="1" applyFill="1" applyBorder="1" applyAlignment="1">
      <alignment horizontal="center" vertical="center" wrapText="1"/>
    </xf>
    <xf numFmtId="1" fontId="0" fillId="31" borderId="7" xfId="3" applyNumberFormat="1" applyFont="1" applyFill="1" applyBorder="1" applyAlignment="1">
      <alignment horizontal="center" vertical="center" wrapText="1"/>
    </xf>
    <xf numFmtId="1" fontId="0" fillId="32" borderId="6" xfId="3" applyNumberFormat="1" applyFont="1" applyFill="1" applyBorder="1" applyAlignment="1">
      <alignment horizontal="center" vertical="center" wrapText="1"/>
    </xf>
    <xf numFmtId="1" fontId="0" fillId="32" borderId="7" xfId="3" applyNumberFormat="1" applyFont="1" applyFill="1" applyBorder="1" applyAlignment="1">
      <alignment horizontal="center" vertical="center" wrapText="1"/>
    </xf>
    <xf numFmtId="9" fontId="0" fillId="18" borderId="5" xfId="3" applyFont="1" applyFill="1" applyBorder="1" applyAlignment="1">
      <alignment horizontal="center" vertical="center" wrapText="1"/>
    </xf>
    <xf numFmtId="9" fontId="0" fillId="18" borderId="6" xfId="3" applyFont="1" applyFill="1" applyBorder="1" applyAlignment="1">
      <alignment horizontal="center" vertical="center" wrapText="1"/>
    </xf>
    <xf numFmtId="9" fontId="0" fillId="18" borderId="7" xfId="3" applyFont="1" applyFill="1" applyBorder="1" applyAlignment="1">
      <alignment horizontal="center" vertical="center" wrapText="1"/>
    </xf>
    <xf numFmtId="9" fontId="0" fillId="20" borderId="5" xfId="3" applyFont="1" applyFill="1" applyBorder="1" applyAlignment="1">
      <alignment horizontal="center" vertical="center" wrapText="1"/>
    </xf>
    <xf numFmtId="9" fontId="0" fillId="20" borderId="6" xfId="3" applyFont="1" applyFill="1" applyBorder="1" applyAlignment="1">
      <alignment horizontal="center" vertical="center" wrapText="1"/>
    </xf>
    <xf numFmtId="9" fontId="0" fillId="20" borderId="7" xfId="3" applyFont="1" applyFill="1" applyBorder="1" applyAlignment="1">
      <alignment horizontal="center" vertical="center" wrapText="1"/>
    </xf>
    <xf numFmtId="0" fontId="2" fillId="3" borderId="4" xfId="0" applyFont="1" applyFill="1" applyBorder="1" applyAlignment="1">
      <alignment horizontal="center" vertical="center" wrapText="1"/>
    </xf>
    <xf numFmtId="9" fontId="0" fillId="17" borderId="5" xfId="3"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9" fontId="6" fillId="27" borderId="5" xfId="3" applyFont="1" applyFill="1" applyBorder="1" applyAlignment="1">
      <alignment horizontal="center" vertical="center" wrapText="1"/>
    </xf>
    <xf numFmtId="9" fontId="6" fillId="27" borderId="6" xfId="3" applyFont="1" applyFill="1" applyBorder="1" applyAlignment="1">
      <alignment horizontal="center" vertical="center" wrapText="1"/>
    </xf>
    <xf numFmtId="9" fontId="6" fillId="27" borderId="7" xfId="3"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 fontId="5" fillId="15" borderId="5" xfId="0" applyNumberFormat="1" applyFont="1" applyFill="1" applyBorder="1" applyAlignment="1">
      <alignment horizontal="center" vertical="center" wrapText="1"/>
    </xf>
    <xf numFmtId="1" fontId="5" fillId="15" borderId="7" xfId="0" applyNumberFormat="1" applyFont="1" applyFill="1" applyBorder="1" applyAlignment="1">
      <alignment horizontal="center" vertical="center" wrapText="1"/>
    </xf>
    <xf numFmtId="1" fontId="5" fillId="12" borderId="5" xfId="0" applyNumberFormat="1" applyFont="1" applyFill="1" applyBorder="1" applyAlignment="1">
      <alignment horizontal="center" vertical="center" wrapText="1"/>
    </xf>
    <xf numFmtId="1" fontId="5" fillId="12" borderId="6" xfId="0" applyNumberFormat="1" applyFont="1" applyFill="1" applyBorder="1" applyAlignment="1">
      <alignment horizontal="center" vertical="center" wrapText="1"/>
    </xf>
    <xf numFmtId="1" fontId="5" fillId="12" borderId="7" xfId="0" applyNumberFormat="1" applyFont="1" applyFill="1" applyBorder="1" applyAlignment="1">
      <alignment horizontal="center" vertical="center" wrapText="1"/>
    </xf>
    <xf numFmtId="9" fontId="15" fillId="25" borderId="5" xfId="3" applyFont="1" applyFill="1" applyBorder="1" applyAlignment="1">
      <alignment horizontal="center" vertical="center" wrapText="1"/>
    </xf>
    <xf numFmtId="1" fontId="0" fillId="29" borderId="4" xfId="3" applyNumberFormat="1" applyFont="1" applyFill="1" applyBorder="1" applyAlignment="1">
      <alignment horizontal="center" vertical="center" wrapText="1"/>
    </xf>
    <xf numFmtId="1" fontId="0" fillId="29" borderId="6" xfId="3" applyNumberFormat="1" applyFont="1" applyFill="1" applyBorder="1" applyAlignment="1">
      <alignment horizontal="center" vertical="center" wrapText="1"/>
    </xf>
    <xf numFmtId="1" fontId="0" fillId="29" borderId="7" xfId="3" applyNumberFormat="1" applyFont="1" applyFill="1" applyBorder="1" applyAlignment="1">
      <alignment horizontal="center" vertical="center" wrapText="1"/>
    </xf>
    <xf numFmtId="0" fontId="0" fillId="17" borderId="5" xfId="3" applyNumberFormat="1" applyFont="1" applyFill="1" applyBorder="1" applyAlignment="1">
      <alignment horizontal="center" vertical="center" wrapText="1"/>
    </xf>
    <xf numFmtId="0" fontId="0" fillId="17" borderId="6" xfId="3" applyNumberFormat="1"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15" fillId="25" borderId="5" xfId="0" applyFont="1" applyFill="1" applyBorder="1" applyAlignment="1">
      <alignment horizontal="center" vertical="center" wrapText="1"/>
    </xf>
    <xf numFmtId="0" fontId="15" fillId="25" borderId="7" xfId="0" applyFont="1" applyFill="1" applyBorder="1" applyAlignment="1">
      <alignment horizontal="center" vertical="center" wrapText="1"/>
    </xf>
    <xf numFmtId="0" fontId="15" fillId="25"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15" fillId="26" borderId="5" xfId="0" applyFont="1" applyFill="1" applyBorder="1" applyAlignment="1">
      <alignment horizontal="center" vertical="center" wrapText="1"/>
    </xf>
    <xf numFmtId="0" fontId="15" fillId="26" borderId="7" xfId="0" applyFont="1" applyFill="1" applyBorder="1" applyAlignment="1">
      <alignment horizontal="center" vertical="center" wrapText="1"/>
    </xf>
    <xf numFmtId="0" fontId="15" fillId="26" borderId="6" xfId="0" applyFont="1" applyFill="1" applyBorder="1" applyAlignment="1">
      <alignment horizontal="center" vertical="center" wrapText="1"/>
    </xf>
    <xf numFmtId="0" fontId="15" fillId="24" borderId="5" xfId="0" applyFont="1" applyFill="1" applyBorder="1" applyAlignment="1">
      <alignment horizontal="center" vertical="center" wrapText="1"/>
    </xf>
    <xf numFmtId="0" fontId="15" fillId="24" borderId="6" xfId="0" applyFont="1" applyFill="1" applyBorder="1" applyAlignment="1">
      <alignment horizontal="center" vertical="center" wrapText="1"/>
    </xf>
    <xf numFmtId="0" fontId="15" fillId="24" borderId="7" xfId="0" applyFont="1" applyFill="1" applyBorder="1" applyAlignment="1">
      <alignment horizontal="center" vertical="center" wrapText="1"/>
    </xf>
    <xf numFmtId="9" fontId="5" fillId="10" borderId="5" xfId="3" applyFont="1" applyFill="1" applyBorder="1" applyAlignment="1">
      <alignment horizontal="center" vertical="center" wrapText="1"/>
    </xf>
    <xf numFmtId="9" fontId="5" fillId="10" borderId="6" xfId="3" applyFont="1" applyFill="1" applyBorder="1" applyAlignment="1">
      <alignment horizontal="center" vertical="center" wrapText="1"/>
    </xf>
    <xf numFmtId="9" fontId="5" fillId="10" borderId="7" xfId="3" applyFont="1" applyFill="1" applyBorder="1" applyAlignment="1">
      <alignment horizontal="center" vertical="center" wrapText="1"/>
    </xf>
    <xf numFmtId="9" fontId="5" fillId="12" borderId="5" xfId="3" applyFont="1" applyFill="1" applyBorder="1" applyAlignment="1">
      <alignment horizontal="center" vertical="center" wrapText="1"/>
    </xf>
    <xf numFmtId="9" fontId="5" fillId="12" borderId="6" xfId="3" applyFont="1" applyFill="1" applyBorder="1" applyAlignment="1">
      <alignment horizontal="center" vertical="center" wrapText="1"/>
    </xf>
    <xf numFmtId="9" fontId="5" fillId="12" borderId="7" xfId="3" applyFont="1" applyFill="1" applyBorder="1" applyAlignment="1">
      <alignment horizontal="center" vertical="center" wrapText="1"/>
    </xf>
    <xf numFmtId="1" fontId="6" fillId="36" borderId="4" xfId="3" applyNumberFormat="1" applyFont="1" applyFill="1" applyBorder="1" applyAlignment="1">
      <alignment horizontal="center" vertical="center" wrapText="1"/>
    </xf>
    <xf numFmtId="1" fontId="5" fillId="13" borderId="5" xfId="0" applyNumberFormat="1" applyFont="1" applyFill="1" applyBorder="1" applyAlignment="1">
      <alignment horizontal="center" vertical="center" wrapText="1"/>
    </xf>
    <xf numFmtId="1" fontId="5" fillId="13" borderId="6" xfId="0" applyNumberFormat="1" applyFont="1" applyFill="1" applyBorder="1" applyAlignment="1">
      <alignment horizontal="center" vertical="center" wrapText="1"/>
    </xf>
    <xf numFmtId="1" fontId="0" fillId="55" borderId="4" xfId="3" applyNumberFormat="1" applyFont="1" applyFill="1" applyBorder="1" applyAlignment="1">
      <alignment horizontal="center" vertical="center" wrapText="1"/>
    </xf>
    <xf numFmtId="1" fontId="0" fillId="55" borderId="6" xfId="3" applyNumberFormat="1" applyFont="1" applyFill="1" applyBorder="1" applyAlignment="1">
      <alignment horizontal="center" vertical="center" wrapText="1"/>
    </xf>
    <xf numFmtId="1" fontId="0" fillId="55" borderId="7" xfId="3" applyNumberFormat="1" applyFont="1" applyFill="1" applyBorder="1" applyAlignment="1">
      <alignment horizontal="center" vertical="center" wrapText="1"/>
    </xf>
    <xf numFmtId="1" fontId="0" fillId="56" borderId="5" xfId="3" applyNumberFormat="1" applyFont="1" applyFill="1" applyBorder="1" applyAlignment="1">
      <alignment horizontal="center" vertical="center" wrapText="1"/>
    </xf>
    <xf numFmtId="1" fontId="0" fillId="56" borderId="6" xfId="3" applyNumberFormat="1" applyFont="1" applyFill="1" applyBorder="1" applyAlignment="1">
      <alignment horizontal="center" vertical="center" wrapText="1"/>
    </xf>
    <xf numFmtId="1" fontId="0" fillId="56" borderId="7" xfId="3" applyNumberFormat="1" applyFont="1" applyFill="1" applyBorder="1" applyAlignment="1">
      <alignment horizontal="center" vertical="center" wrapText="1"/>
    </xf>
    <xf numFmtId="1" fontId="5" fillId="8" borderId="5" xfId="0" applyNumberFormat="1" applyFont="1" applyFill="1" applyBorder="1" applyAlignment="1">
      <alignment horizontal="center" vertical="center" wrapText="1"/>
    </xf>
    <xf numFmtId="1" fontId="5" fillId="8" borderId="6" xfId="0" applyNumberFormat="1" applyFont="1" applyFill="1" applyBorder="1" applyAlignment="1">
      <alignment horizontal="center" vertical="center" wrapText="1"/>
    </xf>
    <xf numFmtId="1" fontId="5" fillId="8" borderId="7" xfId="0" applyNumberFormat="1" applyFont="1" applyFill="1" applyBorder="1" applyAlignment="1">
      <alignment horizontal="center" vertical="center" wrapText="1"/>
    </xf>
    <xf numFmtId="9" fontId="0" fillId="23" borderId="4" xfId="3" applyFont="1" applyFill="1" applyBorder="1" applyAlignment="1">
      <alignment horizontal="center" vertical="center" wrapText="1"/>
    </xf>
    <xf numFmtId="1" fontId="0" fillId="33" borderId="5" xfId="3" applyNumberFormat="1" applyFont="1" applyFill="1" applyBorder="1" applyAlignment="1">
      <alignment horizontal="center" vertical="center" wrapText="1"/>
    </xf>
    <xf numFmtId="1" fontId="0" fillId="33" borderId="6" xfId="3" applyNumberFormat="1" applyFont="1" applyFill="1" applyBorder="1" applyAlignment="1">
      <alignment horizontal="center" vertical="center" wrapText="1"/>
    </xf>
    <xf numFmtId="1" fontId="0" fillId="33" borderId="7" xfId="3" applyNumberFormat="1" applyFont="1" applyFill="1" applyBorder="1" applyAlignment="1">
      <alignment horizontal="center" vertical="center" wrapText="1"/>
    </xf>
    <xf numFmtId="2" fontId="0" fillId="33" borderId="5" xfId="3" applyNumberFormat="1" applyFont="1" applyFill="1" applyBorder="1" applyAlignment="1">
      <alignment horizontal="center" vertical="center" wrapText="1"/>
    </xf>
    <xf numFmtId="2" fontId="0" fillId="33" borderId="6" xfId="3" applyNumberFormat="1" applyFont="1" applyFill="1" applyBorder="1" applyAlignment="1">
      <alignment horizontal="center" vertical="center" wrapText="1"/>
    </xf>
    <xf numFmtId="2" fontId="0" fillId="33" borderId="7" xfId="3" applyNumberFormat="1"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1" fontId="5" fillId="10" borderId="5" xfId="0" applyNumberFormat="1" applyFont="1" applyFill="1" applyBorder="1" applyAlignment="1">
      <alignment horizontal="center" vertical="center" wrapText="1"/>
    </xf>
    <xf numFmtId="1" fontId="5" fillId="10" borderId="6" xfId="0" applyNumberFormat="1" applyFont="1" applyFill="1" applyBorder="1" applyAlignment="1">
      <alignment horizontal="center" vertical="center" wrapText="1"/>
    </xf>
    <xf numFmtId="1" fontId="5" fillId="10" borderId="7" xfId="0" applyNumberFormat="1" applyFont="1" applyFill="1" applyBorder="1" applyAlignment="1">
      <alignment horizontal="center" vertical="center" wrapText="1"/>
    </xf>
    <xf numFmtId="0" fontId="15" fillId="23" borderId="5" xfId="0" applyFont="1" applyFill="1" applyBorder="1" applyAlignment="1">
      <alignment horizontal="center" vertical="center" wrapText="1"/>
    </xf>
    <xf numFmtId="0" fontId="15" fillId="23" borderId="6" xfId="0" applyFont="1" applyFill="1" applyBorder="1" applyAlignment="1">
      <alignment horizontal="center" vertical="center" wrapText="1"/>
    </xf>
    <xf numFmtId="0" fontId="15" fillId="23" borderId="7" xfId="0" applyFont="1" applyFill="1" applyBorder="1" applyAlignment="1">
      <alignment horizontal="center" vertical="center" wrapText="1"/>
    </xf>
    <xf numFmtId="1" fontId="7" fillId="7" borderId="5" xfId="0" applyNumberFormat="1" applyFont="1" applyFill="1" applyBorder="1" applyAlignment="1">
      <alignment horizontal="center" vertical="center" wrapText="1"/>
    </xf>
    <xf numFmtId="1" fontId="7" fillId="7" borderId="6" xfId="0" applyNumberFormat="1" applyFont="1" applyFill="1" applyBorder="1" applyAlignment="1">
      <alignment horizontal="center" vertical="center" wrapText="1"/>
    </xf>
    <xf numFmtId="1" fontId="7" fillId="7" borderId="7" xfId="0" applyNumberFormat="1" applyFont="1" applyFill="1" applyBorder="1" applyAlignment="1">
      <alignment horizontal="center" vertical="center" wrapText="1"/>
    </xf>
    <xf numFmtId="1" fontId="5" fillId="7" borderId="5" xfId="0" applyNumberFormat="1" applyFont="1" applyFill="1" applyBorder="1" applyAlignment="1">
      <alignment horizontal="center" vertical="center" wrapText="1"/>
    </xf>
    <xf numFmtId="1" fontId="5" fillId="7" borderId="6" xfId="0" applyNumberFormat="1" applyFont="1" applyFill="1" applyBorder="1" applyAlignment="1">
      <alignment horizontal="center" vertical="center" wrapText="1"/>
    </xf>
    <xf numFmtId="1" fontId="5" fillId="7" borderId="7" xfId="0" applyNumberFormat="1" applyFont="1" applyFill="1" applyBorder="1" applyAlignment="1">
      <alignment horizontal="center" vertical="center" wrapText="1"/>
    </xf>
    <xf numFmtId="0" fontId="15" fillId="21" borderId="5" xfId="0" applyFont="1" applyFill="1" applyBorder="1" applyAlignment="1">
      <alignment horizontal="center" vertical="center" wrapText="1"/>
    </xf>
    <xf numFmtId="0" fontId="15" fillId="21" borderId="6" xfId="0" applyFont="1" applyFill="1" applyBorder="1" applyAlignment="1">
      <alignment horizontal="center" vertical="center" wrapText="1"/>
    </xf>
    <xf numFmtId="0" fontId="15" fillId="21" borderId="7" xfId="0" applyFont="1" applyFill="1" applyBorder="1" applyAlignment="1">
      <alignment horizontal="center" vertical="center" wrapText="1"/>
    </xf>
    <xf numFmtId="0" fontId="15" fillId="22" borderId="5" xfId="0" applyFont="1" applyFill="1" applyBorder="1" applyAlignment="1">
      <alignment horizontal="center" vertical="center" wrapText="1"/>
    </xf>
    <xf numFmtId="0" fontId="15" fillId="22" borderId="6" xfId="0" applyFont="1" applyFill="1" applyBorder="1" applyAlignment="1">
      <alignment horizontal="center" vertical="center" wrapText="1"/>
    </xf>
    <xf numFmtId="0" fontId="15" fillId="22" borderId="7" xfId="0" applyFont="1" applyFill="1" applyBorder="1" applyAlignment="1">
      <alignment horizontal="center" vertical="center" wrapText="1"/>
    </xf>
    <xf numFmtId="1" fontId="5" fillId="9" borderId="5" xfId="0" applyNumberFormat="1" applyFont="1" applyFill="1" applyBorder="1" applyAlignment="1">
      <alignment horizontal="center" vertical="center" wrapText="1"/>
    </xf>
    <xf numFmtId="1" fontId="5" fillId="9" borderId="6" xfId="0" applyNumberFormat="1" applyFont="1" applyFill="1" applyBorder="1" applyAlignment="1">
      <alignment horizontal="center" vertical="center" wrapText="1"/>
    </xf>
    <xf numFmtId="1" fontId="5" fillId="9" borderId="7" xfId="0" applyNumberFormat="1"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5" borderId="5" xfId="0" applyFont="1" applyFill="1" applyBorder="1" applyAlignment="1">
      <alignment horizontal="left" wrapText="1"/>
    </xf>
    <xf numFmtId="0" fontId="7" fillId="5" borderId="6" xfId="0" applyFont="1" applyFill="1" applyBorder="1" applyAlignment="1">
      <alignment horizontal="left" wrapText="1"/>
    </xf>
    <xf numFmtId="0" fontId="7" fillId="5" borderId="7" xfId="0" applyFont="1" applyFill="1" applyBorder="1" applyAlignment="1">
      <alignment horizontal="left" wrapText="1"/>
    </xf>
    <xf numFmtId="167" fontId="7" fillId="5" borderId="5" xfId="1" applyFont="1" applyFill="1" applyBorder="1" applyAlignment="1">
      <alignment horizontal="center" wrapText="1"/>
    </xf>
    <xf numFmtId="167" fontId="7" fillId="5" borderId="6" xfId="1" applyFont="1" applyFill="1" applyBorder="1" applyAlignment="1">
      <alignment horizontal="center" wrapText="1"/>
    </xf>
    <xf numFmtId="167" fontId="7" fillId="5" borderId="7" xfId="1" applyFont="1" applyFill="1" applyBorder="1" applyAlignment="1">
      <alignment horizont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1" fontId="5" fillId="6" borderId="7"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5" fillId="19" borderId="5" xfId="0" applyFont="1" applyFill="1" applyBorder="1" applyAlignment="1">
      <alignment horizontal="center" vertical="center" wrapText="1"/>
    </xf>
    <xf numFmtId="0" fontId="15" fillId="19" borderId="6" xfId="0"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20" borderId="5" xfId="0" applyFont="1" applyFill="1" applyBorder="1" applyAlignment="1">
      <alignment horizontal="center" vertical="center" wrapText="1"/>
    </xf>
    <xf numFmtId="0" fontId="15" fillId="20" borderId="6" xfId="0" applyFont="1" applyFill="1" applyBorder="1" applyAlignment="1">
      <alignment horizontal="center" vertical="center" wrapText="1"/>
    </xf>
    <xf numFmtId="0" fontId="15" fillId="20" borderId="7" xfId="0" applyFont="1" applyFill="1" applyBorder="1" applyAlignment="1">
      <alignment horizontal="center" vertical="center" wrapText="1"/>
    </xf>
    <xf numFmtId="1" fontId="0" fillId="31" borderId="4" xfId="3"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1" fontId="5" fillId="5" borderId="5" xfId="0" applyNumberFormat="1" applyFont="1" applyFill="1" applyBorder="1" applyAlignment="1">
      <alignment horizontal="center" vertical="center" wrapText="1"/>
    </xf>
    <xf numFmtId="1" fontId="5" fillId="5" borderId="6" xfId="0" applyNumberFormat="1"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1" fontId="6" fillId="4" borderId="5" xfId="0" applyNumberFormat="1"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1" fontId="6" fillId="4" borderId="7"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71" fontId="17" fillId="18" borderId="14" xfId="0" applyNumberFormat="1" applyFont="1" applyFill="1" applyBorder="1" applyAlignment="1">
      <alignment horizontal="center" vertical="center" wrapText="1"/>
    </xf>
    <xf numFmtId="0" fontId="18" fillId="0" borderId="15" xfId="0" applyFont="1" applyBorder="1"/>
    <xf numFmtId="0" fontId="18" fillId="0" borderId="16" xfId="0" applyFont="1" applyBorder="1"/>
    <xf numFmtId="174" fontId="2" fillId="43" borderId="14" xfId="0" applyNumberFormat="1" applyFont="1" applyFill="1" applyBorder="1" applyAlignment="1">
      <alignment horizontal="center" vertical="center" wrapText="1"/>
    </xf>
    <xf numFmtId="174" fontId="2" fillId="43" borderId="15" xfId="0" applyNumberFormat="1" applyFont="1" applyFill="1" applyBorder="1" applyAlignment="1">
      <alignment horizontal="center" vertical="center" wrapText="1"/>
    </xf>
    <xf numFmtId="174" fontId="2" fillId="43" borderId="16" xfId="0" applyNumberFormat="1" applyFont="1" applyFill="1" applyBorder="1" applyAlignment="1">
      <alignment horizontal="center" vertical="center" wrapText="1"/>
    </xf>
    <xf numFmtId="172" fontId="0" fillId="44" borderId="14" xfId="0" applyNumberFormat="1" applyFill="1" applyBorder="1" applyAlignment="1">
      <alignment horizontal="center" vertical="center" wrapText="1"/>
    </xf>
    <xf numFmtId="172" fontId="0" fillId="44" borderId="15" xfId="0" applyNumberFormat="1" applyFill="1" applyBorder="1" applyAlignment="1">
      <alignment horizontal="center" vertical="center" wrapText="1"/>
    </xf>
    <xf numFmtId="172" fontId="0" fillId="44" borderId="16" xfId="0" applyNumberFormat="1" applyFill="1" applyBorder="1" applyAlignment="1">
      <alignment horizontal="center" vertical="center" wrapText="1"/>
    </xf>
    <xf numFmtId="0" fontId="15" fillId="17" borderId="5" xfId="0" applyFont="1" applyFill="1" applyBorder="1" applyAlignment="1">
      <alignment horizontal="center" vertical="center" wrapText="1"/>
    </xf>
    <xf numFmtId="0" fontId="15" fillId="17" borderId="6" xfId="0" applyFont="1" applyFill="1" applyBorder="1" applyAlignment="1">
      <alignment horizontal="center" vertical="center" wrapText="1"/>
    </xf>
    <xf numFmtId="0" fontId="15" fillId="17" borderId="7"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15" fillId="18" borderId="7" xfId="0" applyFont="1" applyFill="1" applyBorder="1" applyAlignment="1">
      <alignment horizontal="center" vertical="center" wrapText="1"/>
    </xf>
    <xf numFmtId="167" fontId="6" fillId="3" borderId="5" xfId="1" applyFont="1" applyFill="1" applyBorder="1" applyAlignment="1">
      <alignment horizontal="center" vertical="center" wrapText="1"/>
    </xf>
    <xf numFmtId="167" fontId="6" fillId="3" borderId="7" xfId="1" applyFont="1" applyFill="1" applyBorder="1" applyAlignment="1">
      <alignment horizontal="center" vertical="center" wrapText="1"/>
    </xf>
    <xf numFmtId="9" fontId="6" fillId="3" borderId="5" xfId="3" applyFont="1" applyFill="1" applyBorder="1" applyAlignment="1">
      <alignment horizontal="center" vertical="center" wrapText="1"/>
    </xf>
    <xf numFmtId="9" fontId="6" fillId="3" borderId="7" xfId="3" applyFont="1" applyFill="1" applyBorder="1" applyAlignment="1">
      <alignment horizontal="center" vertical="center" wrapText="1"/>
    </xf>
    <xf numFmtId="9" fontId="5" fillId="3" borderId="11" xfId="3" applyFont="1" applyFill="1" applyBorder="1" applyAlignment="1">
      <alignment horizontal="center" vertical="center" wrapText="1"/>
    </xf>
    <xf numFmtId="9" fontId="5" fillId="3" borderId="12" xfId="3" applyFont="1" applyFill="1" applyBorder="1" applyAlignment="1">
      <alignment horizontal="center" vertical="center" wrapText="1"/>
    </xf>
    <xf numFmtId="9" fontId="5" fillId="3" borderId="13" xfId="3" applyFont="1" applyFill="1" applyBorder="1" applyAlignment="1">
      <alignment horizontal="center" vertical="center" wrapText="1"/>
    </xf>
    <xf numFmtId="9" fontId="6" fillId="3" borderId="11" xfId="3" applyFont="1" applyFill="1" applyBorder="1" applyAlignment="1">
      <alignment horizontal="center" vertical="center" wrapText="1"/>
    </xf>
    <xf numFmtId="9" fontId="6" fillId="3" borderId="12" xfId="3" applyFont="1" applyFill="1" applyBorder="1" applyAlignment="1">
      <alignment horizontal="center" vertical="center" wrapText="1"/>
    </xf>
    <xf numFmtId="9" fontId="6" fillId="3" borderId="13" xfId="3" applyFont="1" applyFill="1" applyBorder="1" applyAlignment="1">
      <alignment horizontal="center" vertical="center" wrapText="1"/>
    </xf>
    <xf numFmtId="172" fontId="0" fillId="45" borderId="17" xfId="0" applyNumberFormat="1" applyFill="1" applyBorder="1" applyAlignment="1">
      <alignment horizontal="center" vertical="center" wrapText="1"/>
    </xf>
    <xf numFmtId="172" fontId="0" fillId="45" borderId="18" xfId="0" applyNumberFormat="1" applyFill="1" applyBorder="1" applyAlignment="1">
      <alignment horizontal="center" vertical="center" wrapText="1"/>
    </xf>
    <xf numFmtId="172" fontId="0" fillId="45" borderId="19" xfId="0" applyNumberFormat="1" applyFill="1" applyBorder="1" applyAlignment="1">
      <alignment horizontal="center" vertical="center" wrapText="1"/>
    </xf>
    <xf numFmtId="172" fontId="0" fillId="46" borderId="17" xfId="0" applyNumberFormat="1" applyFill="1" applyBorder="1" applyAlignment="1">
      <alignment horizontal="center" vertical="center" wrapText="1"/>
    </xf>
    <xf numFmtId="172" fontId="0" fillId="46" borderId="18" xfId="0" applyNumberFormat="1" applyFill="1" applyBorder="1" applyAlignment="1">
      <alignment horizontal="center" vertical="center" wrapText="1"/>
    </xf>
    <xf numFmtId="172" fontId="0" fillId="46" borderId="19" xfId="0" applyNumberFormat="1" applyFill="1" applyBorder="1" applyAlignment="1">
      <alignment horizontal="center" vertical="center" wrapText="1"/>
    </xf>
    <xf numFmtId="172" fontId="0" fillId="47" borderId="17" xfId="0" applyNumberFormat="1" applyFill="1" applyBorder="1" applyAlignment="1">
      <alignment horizontal="center" vertical="center" wrapText="1"/>
    </xf>
    <xf numFmtId="172" fontId="0" fillId="47" borderId="18" xfId="0" applyNumberFormat="1" applyFill="1" applyBorder="1" applyAlignment="1">
      <alignment horizontal="center" vertical="center" wrapText="1"/>
    </xf>
    <xf numFmtId="172" fontId="0" fillId="47" borderId="19" xfId="0" applyNumberFormat="1" applyFill="1" applyBorder="1" applyAlignment="1">
      <alignment horizontal="center" vertical="center" wrapText="1"/>
    </xf>
    <xf numFmtId="172" fontId="6" fillId="48" borderId="17" xfId="0" applyNumberFormat="1" applyFont="1" applyFill="1" applyBorder="1" applyAlignment="1">
      <alignment horizontal="center" vertical="center" wrapText="1"/>
    </xf>
    <xf numFmtId="172" fontId="6" fillId="48" borderId="18" xfId="0" applyNumberFormat="1" applyFont="1" applyFill="1" applyBorder="1" applyAlignment="1">
      <alignment horizontal="center" vertical="center" wrapText="1"/>
    </xf>
    <xf numFmtId="172" fontId="6" fillId="48" borderId="20" xfId="0" applyNumberFormat="1" applyFont="1" applyFill="1" applyBorder="1" applyAlignment="1">
      <alignment horizontal="center" vertical="center" wrapText="1"/>
    </xf>
    <xf numFmtId="9" fontId="5" fillId="5" borderId="5" xfId="3" applyFont="1" applyFill="1" applyBorder="1" applyAlignment="1">
      <alignment horizontal="center" vertical="center" wrapText="1"/>
    </xf>
    <xf numFmtId="9" fontId="5" fillId="5" borderId="6" xfId="3" applyFont="1" applyFill="1" applyBorder="1" applyAlignment="1">
      <alignment horizontal="center" vertical="center" wrapText="1"/>
    </xf>
    <xf numFmtId="9" fontId="5" fillId="5" borderId="7" xfId="3" applyFont="1" applyFill="1" applyBorder="1" applyAlignment="1">
      <alignment horizontal="center" vertical="center" wrapText="1"/>
    </xf>
    <xf numFmtId="0" fontId="0" fillId="8" borderId="4" xfId="0" applyFill="1" applyBorder="1" applyAlignment="1">
      <alignment horizontal="center" vertical="center" wrapText="1"/>
    </xf>
    <xf numFmtId="0" fontId="0" fillId="9" borderId="4" xfId="0" applyFill="1" applyBorder="1" applyAlignment="1">
      <alignment horizontal="center" vertical="center" wrapText="1"/>
    </xf>
    <xf numFmtId="0" fontId="0" fillId="10" borderId="4" xfId="0" applyFill="1" applyBorder="1" applyAlignment="1">
      <alignment horizontal="center" vertical="center" wrapText="1"/>
    </xf>
    <xf numFmtId="0" fontId="0" fillId="11" borderId="4" xfId="0" applyFill="1" applyBorder="1" applyAlignment="1">
      <alignment horizontal="center" vertical="center" wrapText="1"/>
    </xf>
    <xf numFmtId="0" fontId="0" fillId="12"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0" fontId="0" fillId="6" borderId="4" xfId="0" applyFill="1" applyBorder="1" applyAlignment="1">
      <alignment horizontal="center" vertical="center" wrapText="1"/>
    </xf>
    <xf numFmtId="0" fontId="0" fillId="7" borderId="4" xfId="0" applyFill="1" applyBorder="1" applyAlignment="1">
      <alignment horizontal="center" vertical="center" wrapText="1"/>
    </xf>
    <xf numFmtId="168" fontId="7" fillId="5" borderId="5" xfId="1" applyNumberFormat="1" applyFont="1" applyFill="1" applyBorder="1" applyAlignment="1">
      <alignment horizontal="center" wrapText="1"/>
    </xf>
    <xf numFmtId="168" fontId="7" fillId="5" borderId="7" xfId="1" applyNumberFormat="1" applyFont="1" applyFill="1" applyBorder="1" applyAlignment="1">
      <alignment horizontal="center" wrapText="1"/>
    </xf>
    <xf numFmtId="166" fontId="7" fillId="5" borderId="5" xfId="0" applyNumberFormat="1" applyFont="1" applyFill="1" applyBorder="1" applyAlignment="1">
      <alignment horizontal="center" vertical="center" wrapText="1"/>
    </xf>
    <xf numFmtId="166" fontId="7" fillId="5" borderId="6" xfId="0" applyNumberFormat="1" applyFont="1" applyFill="1" applyBorder="1" applyAlignment="1">
      <alignment horizontal="center" vertical="center" wrapText="1"/>
    </xf>
    <xf numFmtId="166" fontId="7" fillId="5" borderId="7" xfId="0" applyNumberFormat="1" applyFont="1" applyFill="1" applyBorder="1" applyAlignment="1">
      <alignment horizontal="center" vertical="center" wrapText="1"/>
    </xf>
    <xf numFmtId="1" fontId="0" fillId="29" borderId="5" xfId="3"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1" fontId="0" fillId="32" borderId="5" xfId="3" applyNumberFormat="1" applyFont="1" applyFill="1" applyBorder="1" applyAlignment="1">
      <alignment horizontal="center" vertical="center" wrapText="1"/>
    </xf>
    <xf numFmtId="1" fontId="0" fillId="32" borderId="4" xfId="3" applyNumberFormat="1" applyFont="1" applyFill="1" applyBorder="1" applyAlignment="1">
      <alignment horizontal="center" vertical="center" wrapText="1"/>
    </xf>
    <xf numFmtId="1" fontId="6" fillId="57" borderId="4" xfId="3" applyNumberFormat="1" applyFont="1" applyFill="1" applyBorder="1" applyAlignment="1">
      <alignment horizontal="center" vertical="center" wrapText="1"/>
    </xf>
    <xf numFmtId="1" fontId="15" fillId="57" borderId="4" xfId="3" applyNumberFormat="1" applyFont="1" applyFill="1" applyBorder="1" applyAlignment="1">
      <alignment horizontal="center" vertical="center" wrapText="1"/>
    </xf>
    <xf numFmtId="167" fontId="5" fillId="3" borderId="25" xfId="1" applyFont="1" applyFill="1" applyBorder="1" applyAlignment="1">
      <alignment horizontal="center" vertical="center" wrapText="1"/>
    </xf>
    <xf numFmtId="167" fontId="5" fillId="3" borderId="10" xfId="1" applyFont="1" applyFill="1" applyBorder="1" applyAlignment="1">
      <alignment horizontal="center" vertical="center" wrapText="1"/>
    </xf>
    <xf numFmtId="165" fontId="5" fillId="3" borderId="10" xfId="1" applyNumberFormat="1" applyFont="1" applyFill="1" applyBorder="1" applyAlignment="1">
      <alignment horizontal="center" vertical="center" wrapText="1"/>
    </xf>
    <xf numFmtId="164" fontId="5" fillId="3" borderId="10" xfId="1" applyNumberFormat="1" applyFont="1" applyFill="1" applyBorder="1" applyAlignment="1">
      <alignment horizontal="center" vertical="center" wrapText="1"/>
    </xf>
    <xf numFmtId="165" fontId="6" fillId="3" borderId="10" xfId="1" applyNumberFormat="1" applyFont="1" applyFill="1" applyBorder="1" applyAlignment="1">
      <alignment horizontal="center" vertical="center" wrapText="1"/>
    </xf>
    <xf numFmtId="167" fontId="6" fillId="3" borderId="10" xfId="1" applyFont="1" applyFill="1" applyBorder="1" applyAlignment="1">
      <alignment horizontal="center" vertical="center" wrapText="1"/>
    </xf>
    <xf numFmtId="167" fontId="6" fillId="3" borderId="26" xfId="1" applyFont="1" applyFill="1" applyBorder="1" applyAlignment="1">
      <alignment horizontal="center" vertical="center" wrapText="1"/>
    </xf>
    <xf numFmtId="167" fontId="5" fillId="3" borderId="11" xfId="1" applyFont="1" applyFill="1" applyBorder="1" applyAlignment="1">
      <alignment horizontal="center" vertical="center" wrapText="1"/>
    </xf>
    <xf numFmtId="167" fontId="5" fillId="3" borderId="12" xfId="1" applyFont="1" applyFill="1" applyBorder="1" applyAlignment="1">
      <alignment horizontal="center" vertical="center" wrapText="1"/>
    </xf>
    <xf numFmtId="167" fontId="5" fillId="3" borderId="13" xfId="1" applyFont="1" applyFill="1" applyBorder="1" applyAlignment="1">
      <alignment horizontal="center" vertical="center" wrapText="1"/>
    </xf>
    <xf numFmtId="167" fontId="6" fillId="3" borderId="11" xfId="1" applyFont="1" applyFill="1" applyBorder="1" applyAlignment="1">
      <alignment horizontal="center" vertical="center" wrapText="1"/>
    </xf>
    <xf numFmtId="167" fontId="6" fillId="3" borderId="12" xfId="1" applyFont="1" applyFill="1" applyBorder="1" applyAlignment="1">
      <alignment horizontal="center" vertical="center" wrapText="1"/>
    </xf>
    <xf numFmtId="167" fontId="6" fillId="3" borderId="13" xfId="1"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3" borderId="6" xfId="0" applyFont="1" applyFill="1" applyBorder="1" applyAlignment="1">
      <alignment horizontal="center" vertical="center" wrapText="1"/>
    </xf>
  </cellXfs>
  <cellStyles count="5">
    <cellStyle name="Hipervínculo" xfId="4"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colors>
    <mruColors>
      <color rgb="FF91E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R\Downloads\PLAN%20DE%20ACCION%20IPC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
      <sheetName val="Hoja1"/>
    </sheetNames>
    <sheetDataSet>
      <sheetData sheetId="0"/>
      <sheetData sheetId="1">
        <row r="8">
          <cell r="K8">
            <v>183138000</v>
          </cell>
        </row>
        <row r="10">
          <cell r="K10">
            <v>158700000</v>
          </cell>
        </row>
        <row r="11">
          <cell r="K11">
            <v>158700000</v>
          </cell>
        </row>
      </sheetData>
    </sheetDataSet>
  </externalBook>
</externalLink>
</file>

<file path=xl/persons/person.xml><?xml version="1.0" encoding="utf-8"?>
<personList xmlns="http://schemas.microsoft.com/office/spreadsheetml/2018/threadedcomments" xmlns:x="http://schemas.openxmlformats.org/spreadsheetml/2006/main">
  <person displayName="lizeth vega" id="{67CA2E8C-BEA7-944B-B0B6-E0A179AC4A5B}"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3" dT="2021-04-10T17:43:08.46" personId="{67CA2E8C-BEA7-944B-B0B6-E0A179AC4A5B}" id="{55750BAD-B179-2548-BCF9-02C40222702A}">
    <text xml:space="preserve">BIBLIOTECAS
</text>
  </threadedComment>
  <threadedComment ref="AJ4" dT="2021-04-10T17:43:16.70" personId="{67CA2E8C-BEA7-944B-B0B6-E0A179AC4A5B}" id="{82930E0F-2528-244E-A6A4-65484BAB82E3}">
    <text xml:space="preserve">COORDINADORES
</text>
  </threadedComment>
  <threadedComment ref="AH13" dT="2021-04-10T17:46:37.74" personId="{67CA2E8C-BEA7-944B-B0B6-E0A179AC4A5B}" id="{8D7899D8-FD68-1E4F-8285-92DA904EC4A2}">
    <text>CADA EVENTO SE MULTIPLICA PARA CADA BIBLIOTECA</text>
  </threadedComment>
  <threadedComment ref="AF73" dT="2021-01-28T16:21:34.61" personId="{67CA2E8C-BEA7-944B-B0B6-E0A179AC4A5B}" id="{3DBB79D0-BF7A-544C-A7EE-CC336FD08DF5}">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AZ74" dT="2021-01-28T16:02:42.97" personId="{67CA2E8C-BEA7-944B-B0B6-E0A179AC4A5B}" id="{CA160D29-F12E-4548-9468-97F755CF8F9F}">
    <text xml:space="preserve">Consultar código al momento de pedir CDP
</text>
  </threadedComment>
  <threadedComment ref="K76" dT="2021-01-28T16:07:03.05" personId="{67CA2E8C-BEA7-944B-B0B6-E0A179AC4A5B}" id="{35CCBA4F-F400-6946-99EF-46F8B68CEA79}">
    <text>Meta compartida con IDER Y PARTICIPACIÓN</text>
  </threadedComment>
  <threadedComment ref="AT76" dT="2021-01-28T16:08:33.65" personId="{67CA2E8C-BEA7-944B-B0B6-E0A179AC4A5B}" id="{EDEDF7D3-DF60-064B-BA5F-5C98686BAD5C}">
    <text>Meta compartida con IDER Y PARTICIPACIÓN</text>
  </threadedComment>
  <threadedComment ref="AZ76" dT="2021-01-28T16:09:42.88" personId="{67CA2E8C-BEA7-944B-B0B6-E0A179AC4A5B}" id="{C5C9DDFB-44A6-034F-BA2E-68FACBB268F1}">
    <text>Consultar código al momento de pedir CDP</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u/0/folders/1scgrI026HzGv8vnsL_BkS0f0C9it9zzp" TargetMode="External"/><Relationship Id="rId18" Type="http://schemas.openxmlformats.org/officeDocument/2006/relationships/hyperlink" Target="https://drive.google.com/drive/u/0/folders/12FmXiOj3w3VwlUoTrQv4_UyRwJuVlGNO" TargetMode="External"/><Relationship Id="rId26" Type="http://schemas.openxmlformats.org/officeDocument/2006/relationships/hyperlink" Target="https://drive.google.com/drive/u/8/folders/1jOt_9DDVLZ3lNPgmpOnHDKyJQ1wo96M8" TargetMode="External"/><Relationship Id="rId3" Type="http://schemas.openxmlformats.org/officeDocument/2006/relationships/hyperlink" Target="https://docs.google.com/document/d/1uH7Ja6dhwlv5UOrUgaUiHCpp62CiCmNO/edit" TargetMode="External"/><Relationship Id="rId21" Type="http://schemas.openxmlformats.org/officeDocument/2006/relationships/hyperlink" Target="https://drive.google.com/drive/folders/1ZX2A-qGWb3fj-bPOrh73zlp9FXr-vBaa?hl=es" TargetMode="External"/><Relationship Id="rId7" Type="http://schemas.openxmlformats.org/officeDocument/2006/relationships/hyperlink" Target="https://docs.google.com/spreadsheets/d/11v5ffTbi0Cb5XPk7uFcJk3q_L5hj01OV/edit" TargetMode="External"/><Relationship Id="rId12" Type="http://schemas.openxmlformats.org/officeDocument/2006/relationships/hyperlink" Target="https://drive.google.com/drive/u/0/folders/1BbJ7FWF2NdOCD-Dt7-6tq_Hsyhzb4x5b" TargetMode="External"/><Relationship Id="rId17" Type="http://schemas.openxmlformats.org/officeDocument/2006/relationships/hyperlink" Target="https://drive.google.com/drive/folders/1RbuJ8_S5DceytG79UMI1Mwb0cUgImNLF?hl=es" TargetMode="External"/><Relationship Id="rId25" Type="http://schemas.openxmlformats.org/officeDocument/2006/relationships/hyperlink" Target="https://drive.google.com/drive/u/8/folders/1n4p0TCUzcQIVDGVw4VumpCQAIvOAVU6o" TargetMode="External"/><Relationship Id="rId33" Type="http://schemas.microsoft.com/office/2017/10/relationships/threadedComment" Target="../threadedComments/threadedComment1.xml"/><Relationship Id="rId2" Type="http://schemas.openxmlformats.org/officeDocument/2006/relationships/hyperlink" Target="https://drive.google.com/drive/u/8/folders/1T2IKBdJ-Uc42iU2-jkgKkUZ6gO5QDkYH" TargetMode="External"/><Relationship Id="rId16" Type="http://schemas.openxmlformats.org/officeDocument/2006/relationships/hyperlink" Target="https://drive.google.com/drive/u/0/folders/1qaY2oLmmdAs01lCEvfdnmbM_6mGg5_ml" TargetMode="External"/><Relationship Id="rId20" Type="http://schemas.openxmlformats.org/officeDocument/2006/relationships/hyperlink" Target="https://drive.google.com/drive/folders/1PB9yrSryb5gnCOEHZWhjcO9_sXDsRtzm?hl=es" TargetMode="External"/><Relationship Id="rId29" Type="http://schemas.openxmlformats.org/officeDocument/2006/relationships/hyperlink" Target="https://drive.google.com/drive/u/8/folders/1cx6vZRoraGJ_po9JuIYQ8zgU9wJ7hYHX" TargetMode="External"/><Relationship Id="rId1" Type="http://schemas.openxmlformats.org/officeDocument/2006/relationships/hyperlink" Target="https://drive.google.com/drive/folders/1vvl2AIMFdmoyVKXn9HD6HKXQlZmHPM5d" TargetMode="External"/><Relationship Id="rId6" Type="http://schemas.openxmlformats.org/officeDocument/2006/relationships/hyperlink" Target="https://drive.google.com/file/d/1ZeTqJZpxYyXrq_kyEwmoUW6ab6cgFPEl/view" TargetMode="External"/><Relationship Id="rId11" Type="http://schemas.openxmlformats.org/officeDocument/2006/relationships/hyperlink" Target="https://www.ipcc.gov.co/index.php/component/phocadownload/category/27-convocatoria?download=1030:resolucion-seleccion-circuito-cultural" TargetMode="External"/><Relationship Id="rId24" Type="http://schemas.openxmlformats.org/officeDocument/2006/relationships/hyperlink" Target="https://drive.google.com/drive/u/8/folders/1JNZrVxeUKmCbMKbfd8r1JlcYuBX4E35T" TargetMode="External"/><Relationship Id="rId32" Type="http://schemas.openxmlformats.org/officeDocument/2006/relationships/comments" Target="../comments1.xml"/><Relationship Id="rId5" Type="http://schemas.openxmlformats.org/officeDocument/2006/relationships/hyperlink" Target="https://docs.google.com/document/d/17W6G866MDztk-aPZX60UewXah0Lqcc0S/edit" TargetMode="External"/><Relationship Id="rId15" Type="http://schemas.openxmlformats.org/officeDocument/2006/relationships/hyperlink" Target="https://drive.google.com/drive/folders/1xBQI9AFrHmllOHKRs5oZosUK9-A7aFlL?hl=es" TargetMode="External"/><Relationship Id="rId23" Type="http://schemas.openxmlformats.org/officeDocument/2006/relationships/hyperlink" Target="https://drive.google.com/drive/folders/1eH9JwoSEo70viEZ1fFeDsgscQDOF0pP8?usp=sharing" TargetMode="External"/><Relationship Id="rId28" Type="http://schemas.openxmlformats.org/officeDocument/2006/relationships/hyperlink" Target="https://drive.google.com/drive/u/8/folders/1fF6oNH2WWVGVtlzKTYB9n9-6RX4liGE5" TargetMode="External"/><Relationship Id="rId10" Type="http://schemas.openxmlformats.org/officeDocument/2006/relationships/hyperlink" Target="https://drive.google.com/drive/folders/1Hl3B8uB_ZlcgGQ7QvRXBt3FVVRZ3qLko" TargetMode="External"/><Relationship Id="rId19" Type="http://schemas.openxmlformats.org/officeDocument/2006/relationships/hyperlink" Target="https://drive.google.com/drive/folders/1ATcG9xpYzxtikb8EdMTSyYcqz9fCHA1l?hl=es" TargetMode="External"/><Relationship Id="rId31" Type="http://schemas.openxmlformats.org/officeDocument/2006/relationships/vmlDrawing" Target="../drawings/vmlDrawing1.vml"/><Relationship Id="rId4" Type="http://schemas.openxmlformats.org/officeDocument/2006/relationships/hyperlink" Target="https://drive.google.com/drive/folders/1BbJ7FWF2NdOCD-Dt7-6tq_Hsyhzb4x5b" TargetMode="External"/><Relationship Id="rId9" Type="http://schemas.openxmlformats.org/officeDocument/2006/relationships/hyperlink" Target="https://drive.google.com/drive/folders/1Hl3B8uB_ZlcgGQ7QvRXBt3FVVRZ3qLko" TargetMode="External"/><Relationship Id="rId14" Type="http://schemas.openxmlformats.org/officeDocument/2006/relationships/hyperlink" Target="https://drive.google.com/drive/u/0/folders/1whfcqeIgmGNgG0OgCqBei-oa0rkCNyaQ" TargetMode="External"/><Relationship Id="rId22" Type="http://schemas.openxmlformats.org/officeDocument/2006/relationships/hyperlink" Target="https://drive.google.com/drive/folders/1GG0auLSXAg2ftZG_Gf7RTogyjkXhM5lH?hl=es" TargetMode="External"/><Relationship Id="rId27" Type="http://schemas.openxmlformats.org/officeDocument/2006/relationships/hyperlink" Target="https://drive.google.com/drive/u/8/folders/1jTQCwdj4ejOPIhtfkcO7gsm1IkQKBR16" TargetMode="External"/><Relationship Id="rId30" Type="http://schemas.openxmlformats.org/officeDocument/2006/relationships/printerSettings" Target="../printerSettings/printerSettings1.bin"/><Relationship Id="rId8" Type="http://schemas.openxmlformats.org/officeDocument/2006/relationships/hyperlink" Target="https://www.facebook.com/IpccCartagenadeIndias/posts/54395943094440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78"/>
  <sheetViews>
    <sheetView tabSelected="1" zoomScale="70" zoomScaleNormal="70" workbookViewId="0">
      <pane ySplit="2" topLeftCell="A18" activePane="bottomLeft" state="frozen"/>
      <selection pane="bottomLeft" activeCell="S37" sqref="S37:S45"/>
    </sheetView>
  </sheetViews>
  <sheetFormatPr baseColWidth="10" defaultColWidth="10.83203125" defaultRowHeight="15.5" x14ac:dyDescent="0.35"/>
  <cols>
    <col min="1" max="1" width="17" style="97" customWidth="1"/>
    <col min="2" max="2" width="29.08203125" style="97" customWidth="1"/>
    <col min="3" max="3" width="35" style="97" customWidth="1"/>
    <col min="4" max="4" width="35.5" style="97" customWidth="1"/>
    <col min="5" max="6" width="29.08203125" style="98" customWidth="1"/>
    <col min="7" max="7" width="26.08203125" style="98" customWidth="1"/>
    <col min="8" max="8" width="43.08203125" style="98" customWidth="1"/>
    <col min="9" max="9" width="24.33203125" style="98" customWidth="1"/>
    <col min="10" max="10" width="41.58203125" style="98" customWidth="1"/>
    <col min="11" max="11" width="40.58203125" style="98" customWidth="1"/>
    <col min="12" max="12" width="23.5" style="98" customWidth="1"/>
    <col min="13" max="13" width="19.58203125" style="98" customWidth="1"/>
    <col min="14" max="14" width="23.33203125" style="98" customWidth="1"/>
    <col min="15" max="16" width="20.5" style="98" customWidth="1"/>
    <col min="17" max="17" width="20.5" style="183" customWidth="1"/>
    <col min="18" max="20" width="20.5" style="122" customWidth="1"/>
    <col min="21" max="21" width="20.5" style="183" customWidth="1"/>
    <col min="22" max="24" width="20.5" style="122" customWidth="1"/>
    <col min="25" max="25" width="20.5" style="275" customWidth="1"/>
    <col min="26" max="28" width="20.5" style="122" customWidth="1"/>
    <col min="29" max="29" width="31.58203125" style="98" customWidth="1"/>
    <col min="30" max="30" width="32.58203125" style="98" customWidth="1"/>
    <col min="31" max="31" width="16.83203125" style="98" customWidth="1"/>
    <col min="32" max="32" width="36.08203125" style="98" customWidth="1"/>
    <col min="33" max="33" width="21.08203125" style="98" customWidth="1"/>
    <col min="34" max="34" width="35.5" style="115" customWidth="1"/>
    <col min="35" max="35" width="35.5" style="174" customWidth="1"/>
    <col min="36" max="39" width="28" style="131" customWidth="1"/>
    <col min="40" max="40" width="49.58203125" style="131" customWidth="1"/>
    <col min="41" max="45" width="28" style="131" customWidth="1"/>
    <col min="46" max="47" width="21.08203125" style="98" customWidth="1"/>
    <col min="48" max="48" width="17.5" style="98" customWidth="1"/>
    <col min="49" max="49" width="15.58203125" style="98" customWidth="1"/>
    <col min="50" max="50" width="27.83203125" style="98" customWidth="1"/>
    <col min="51" max="51" width="14.33203125" style="98" customWidth="1"/>
    <col min="52" max="52" width="31.08203125" style="98" customWidth="1"/>
    <col min="53" max="54" width="39.33203125" style="249" customWidth="1"/>
    <col min="55" max="55" width="26.5" style="252" customWidth="1"/>
    <col min="56" max="56" width="46.83203125" style="251" customWidth="1"/>
    <col min="57" max="57" width="19.83203125" customWidth="1"/>
    <col min="58" max="58" width="49.58203125" style="155" customWidth="1"/>
    <col min="59" max="59" width="46.08203125" style="1" customWidth="1"/>
    <col min="60" max="60" width="24.58203125" style="1" customWidth="1"/>
    <col min="61" max="16384" width="10.83203125" style="1"/>
  </cols>
  <sheetData>
    <row r="1" spans="1:69" ht="14.15" customHeight="1" x14ac:dyDescent="0.35">
      <c r="A1" s="539" t="s">
        <v>0</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c r="AT1" s="539"/>
      <c r="AU1" s="539"/>
      <c r="AV1" s="539"/>
      <c r="AW1" s="539"/>
      <c r="AX1" s="539"/>
      <c r="AY1" s="539"/>
      <c r="AZ1" s="539"/>
      <c r="BA1" s="539"/>
      <c r="BB1" s="539"/>
      <c r="BC1" s="539"/>
      <c r="BD1" s="539"/>
      <c r="BE1" s="540"/>
      <c r="BF1" s="154"/>
    </row>
    <row r="2" spans="1:69" s="9" customFormat="1" ht="80.150000000000006" customHeight="1" x14ac:dyDescent="0.3">
      <c r="A2" s="2" t="s">
        <v>1</v>
      </c>
      <c r="B2" s="3" t="s">
        <v>2</v>
      </c>
      <c r="C2" s="3" t="s">
        <v>3</v>
      </c>
      <c r="D2" s="3" t="s">
        <v>4</v>
      </c>
      <c r="E2" s="3" t="s">
        <v>5</v>
      </c>
      <c r="F2" s="8" t="s">
        <v>369</v>
      </c>
      <c r="G2" s="3" t="s">
        <v>6</v>
      </c>
      <c r="H2" s="3" t="s">
        <v>7</v>
      </c>
      <c r="I2" s="3" t="s">
        <v>4</v>
      </c>
      <c r="J2" s="3" t="s">
        <v>8</v>
      </c>
      <c r="K2" s="3" t="s">
        <v>9</v>
      </c>
      <c r="L2" s="3" t="s">
        <v>10</v>
      </c>
      <c r="M2" s="3" t="s">
        <v>266</v>
      </c>
      <c r="N2" s="8" t="s">
        <v>267</v>
      </c>
      <c r="O2" s="8" t="s">
        <v>308</v>
      </c>
      <c r="P2" s="8" t="s">
        <v>307</v>
      </c>
      <c r="Q2" s="179" t="s">
        <v>319</v>
      </c>
      <c r="R2" s="121" t="s">
        <v>316</v>
      </c>
      <c r="S2" s="121" t="s">
        <v>317</v>
      </c>
      <c r="T2" s="121" t="s">
        <v>318</v>
      </c>
      <c r="U2" s="179" t="s">
        <v>370</v>
      </c>
      <c r="V2" s="121" t="s">
        <v>371</v>
      </c>
      <c r="W2" s="121" t="s">
        <v>372</v>
      </c>
      <c r="X2" s="121" t="s">
        <v>373</v>
      </c>
      <c r="Y2" s="276" t="s">
        <v>543</v>
      </c>
      <c r="Z2" s="121" t="s">
        <v>540</v>
      </c>
      <c r="AA2" s="121" t="s">
        <v>541</v>
      </c>
      <c r="AB2" s="121" t="s">
        <v>542</v>
      </c>
      <c r="AC2" s="4" t="s">
        <v>11</v>
      </c>
      <c r="AD2" s="5" t="s">
        <v>12</v>
      </c>
      <c r="AE2" s="4" t="s">
        <v>13</v>
      </c>
      <c r="AF2" s="4" t="s">
        <v>14</v>
      </c>
      <c r="AG2" s="6" t="s">
        <v>15</v>
      </c>
      <c r="AH2" s="6" t="s">
        <v>286</v>
      </c>
      <c r="AI2" s="6" t="s">
        <v>311</v>
      </c>
      <c r="AJ2" s="6" t="s">
        <v>303</v>
      </c>
      <c r="AK2" s="6" t="s">
        <v>313</v>
      </c>
      <c r="AL2" s="6" t="s">
        <v>314</v>
      </c>
      <c r="AM2" s="6" t="s">
        <v>352</v>
      </c>
      <c r="AN2" s="6" t="s">
        <v>374</v>
      </c>
      <c r="AO2" s="6" t="s">
        <v>375</v>
      </c>
      <c r="AP2" s="6" t="s">
        <v>376</v>
      </c>
      <c r="AQ2" s="6" t="s">
        <v>479</v>
      </c>
      <c r="AR2" s="6" t="s">
        <v>480</v>
      </c>
      <c r="AS2" s="6" t="s">
        <v>539</v>
      </c>
      <c r="AT2" s="6" t="s">
        <v>16</v>
      </c>
      <c r="AU2" s="175" t="s">
        <v>312</v>
      </c>
      <c r="AV2" s="3" t="s">
        <v>17</v>
      </c>
      <c r="AW2" s="3" t="s">
        <v>18</v>
      </c>
      <c r="AX2" s="7" t="s">
        <v>19</v>
      </c>
      <c r="AY2" s="3" t="s">
        <v>20</v>
      </c>
      <c r="AZ2" s="3" t="s">
        <v>21</v>
      </c>
      <c r="BA2" s="8" t="s">
        <v>298</v>
      </c>
      <c r="BB2" s="8" t="s">
        <v>426</v>
      </c>
      <c r="BC2" s="117" t="s">
        <v>297</v>
      </c>
      <c r="BD2" s="121" t="s">
        <v>377</v>
      </c>
      <c r="BE2" s="132" t="s">
        <v>22</v>
      </c>
      <c r="BF2" s="154" t="s">
        <v>304</v>
      </c>
      <c r="BG2" s="9" t="s">
        <v>435</v>
      </c>
    </row>
    <row r="3" spans="1:69" s="15" customFormat="1" ht="206.15" customHeight="1" x14ac:dyDescent="0.35">
      <c r="A3" s="325" t="s">
        <v>23</v>
      </c>
      <c r="B3" s="325" t="s">
        <v>24</v>
      </c>
      <c r="C3" s="325" t="s">
        <v>25</v>
      </c>
      <c r="D3" s="325" t="s">
        <v>26</v>
      </c>
      <c r="E3" s="325" t="s">
        <v>27</v>
      </c>
      <c r="F3" s="331">
        <f>(M3+Q3)/402978</f>
        <v>0.12251289152261413</v>
      </c>
      <c r="G3" s="325" t="s">
        <v>28</v>
      </c>
      <c r="H3" s="325" t="s">
        <v>29</v>
      </c>
      <c r="I3" s="334" t="s">
        <v>30</v>
      </c>
      <c r="J3" s="325" t="s">
        <v>31</v>
      </c>
      <c r="K3" s="325" t="s">
        <v>32</v>
      </c>
      <c r="L3" s="325">
        <v>132832</v>
      </c>
      <c r="M3" s="559">
        <f>AJ3+AJ4+AJ5+AJ6+AJ7+AJ8+AJ9+AJ10+AJ11+AJ12+AJ13+AJ14+AJ15+AJ16+AJ17</f>
        <v>24506</v>
      </c>
      <c r="N3" s="304">
        <f>M3/L3</f>
        <v>0.18448867742712599</v>
      </c>
      <c r="O3" s="393">
        <f>(N3+N13+N15)/3</f>
        <v>0.19482955914237532</v>
      </c>
      <c r="P3" s="393">
        <f>M3/402978</f>
        <v>6.0812252778067288E-2</v>
      </c>
      <c r="Q3" s="434">
        <v>24864</v>
      </c>
      <c r="R3" s="393">
        <f>(M3+Q3)/L3</f>
        <v>0.37167248855697421</v>
      </c>
      <c r="S3" s="316">
        <f>(R3+R13+R15)/3</f>
        <v>0.3905574961856581</v>
      </c>
      <c r="T3" s="393">
        <f>(M3+Q3)/402978</f>
        <v>0.12251289152261413</v>
      </c>
      <c r="U3" s="604">
        <v>28813</v>
      </c>
      <c r="V3" s="393">
        <f>(M3+Q3+U3)/L3</f>
        <v>0.58858558178752107</v>
      </c>
      <c r="W3" s="316">
        <f>(V3+V13+V15)/3</f>
        <v>0.71952852726250693</v>
      </c>
      <c r="X3" s="313">
        <f>(M3+Q3+U3)/402978</f>
        <v>0.19401307267394249</v>
      </c>
      <c r="Y3" s="306">
        <f>AS3+AS4+AS5+AS6+AS7+AS8+AS9+AS10+AS11+AS12+U3</f>
        <v>50461</v>
      </c>
      <c r="Z3" s="304">
        <f>(Y3+U3+Q3+M3)/L3</f>
        <v>0.96847145266200918</v>
      </c>
      <c r="AA3" s="305">
        <f>(Z3+Z13+Z15)/3</f>
        <v>0.94115715088733642</v>
      </c>
      <c r="AB3" s="313">
        <f>(Y3+U3+Q3+M3)/402978</f>
        <v>0.31923330802177785</v>
      </c>
      <c r="AC3" s="541" t="s">
        <v>438</v>
      </c>
      <c r="AD3" s="544">
        <v>2020130010042</v>
      </c>
      <c r="AE3" s="325" t="s">
        <v>33</v>
      </c>
      <c r="AF3" s="10" t="s">
        <v>428</v>
      </c>
      <c r="AG3" s="10">
        <v>18</v>
      </c>
      <c r="AH3" s="10" t="s">
        <v>291</v>
      </c>
      <c r="AI3" s="10">
        <v>18</v>
      </c>
      <c r="AJ3" s="10">
        <v>18</v>
      </c>
      <c r="AK3" s="10" t="s">
        <v>361</v>
      </c>
      <c r="AL3" s="10">
        <v>18</v>
      </c>
      <c r="AM3" s="10">
        <v>18</v>
      </c>
      <c r="AN3" s="10" t="s">
        <v>378</v>
      </c>
      <c r="AO3" s="10">
        <v>6</v>
      </c>
      <c r="AP3" s="206">
        <f>61+18+18</f>
        <v>97</v>
      </c>
      <c r="AQ3" s="206" t="s">
        <v>524</v>
      </c>
      <c r="AR3" s="206">
        <v>17</v>
      </c>
      <c r="AS3" s="206">
        <v>61</v>
      </c>
      <c r="AT3" s="11">
        <v>18</v>
      </c>
      <c r="AU3" s="206"/>
      <c r="AV3" s="325" t="s">
        <v>34</v>
      </c>
      <c r="AW3" s="12" t="s">
        <v>35</v>
      </c>
      <c r="AX3" s="13">
        <v>200000000</v>
      </c>
      <c r="AY3" s="547" t="s">
        <v>36</v>
      </c>
      <c r="AZ3" s="14" t="s">
        <v>37</v>
      </c>
      <c r="BA3" s="619">
        <f>SUM(AX3:AX17)</f>
        <v>1249890000</v>
      </c>
      <c r="BB3" s="612">
        <v>1829589512.4000001</v>
      </c>
      <c r="BC3" s="553">
        <v>1519206852.1199999</v>
      </c>
      <c r="BD3" s="569">
        <f>BC3/BB3</f>
        <v>0.83035393558151216</v>
      </c>
      <c r="BE3" s="133" t="s">
        <v>380</v>
      </c>
      <c r="BF3" s="595"/>
      <c r="BG3" s="16" t="s">
        <v>433</v>
      </c>
      <c r="BH3" s="15" t="s">
        <v>496</v>
      </c>
      <c r="BI3" s="16"/>
    </row>
    <row r="4" spans="1:69" s="219" customFormat="1" ht="58" customHeight="1" x14ac:dyDescent="0.35">
      <c r="A4" s="326"/>
      <c r="B4" s="326"/>
      <c r="C4" s="326"/>
      <c r="D4" s="326"/>
      <c r="E4" s="326"/>
      <c r="F4" s="332"/>
      <c r="G4" s="326"/>
      <c r="H4" s="326"/>
      <c r="I4" s="335"/>
      <c r="J4" s="326"/>
      <c r="K4" s="326"/>
      <c r="L4" s="326"/>
      <c r="M4" s="560"/>
      <c r="N4" s="304"/>
      <c r="O4" s="378"/>
      <c r="P4" s="378"/>
      <c r="Q4" s="435"/>
      <c r="R4" s="378"/>
      <c r="S4" s="317"/>
      <c r="T4" s="378"/>
      <c r="U4" s="432"/>
      <c r="V4" s="378"/>
      <c r="W4" s="317"/>
      <c r="X4" s="314"/>
      <c r="Y4" s="307"/>
      <c r="Z4" s="304"/>
      <c r="AA4" s="305"/>
      <c r="AB4" s="314"/>
      <c r="AC4" s="542"/>
      <c r="AD4" s="545"/>
      <c r="AE4" s="326"/>
      <c r="AF4" s="10" t="s">
        <v>429</v>
      </c>
      <c r="AG4" s="10">
        <v>18</v>
      </c>
      <c r="AH4" s="10" t="s">
        <v>268</v>
      </c>
      <c r="AI4" s="10">
        <v>18</v>
      </c>
      <c r="AJ4" s="10">
        <v>18</v>
      </c>
      <c r="AK4" s="10" t="s">
        <v>362</v>
      </c>
      <c r="AL4" s="10">
        <v>18</v>
      </c>
      <c r="AM4" s="10">
        <v>18</v>
      </c>
      <c r="AN4" s="10" t="s">
        <v>379</v>
      </c>
      <c r="AO4" s="10">
        <v>9</v>
      </c>
      <c r="AP4" s="206">
        <f>36+36+38</f>
        <v>110</v>
      </c>
      <c r="AQ4" s="206" t="s">
        <v>525</v>
      </c>
      <c r="AR4" s="206">
        <v>1</v>
      </c>
      <c r="AS4" s="206">
        <v>38</v>
      </c>
      <c r="AT4" s="11">
        <v>18</v>
      </c>
      <c r="AU4" s="206"/>
      <c r="AV4" s="326"/>
      <c r="AW4" s="12" t="s">
        <v>35</v>
      </c>
      <c r="AX4" s="13">
        <v>115000000</v>
      </c>
      <c r="AY4" s="548"/>
      <c r="AZ4" s="14" t="s">
        <v>38</v>
      </c>
      <c r="BA4" s="620"/>
      <c r="BB4" s="613"/>
      <c r="BC4" s="554"/>
      <c r="BD4" s="570"/>
      <c r="BE4" s="133" t="s">
        <v>292</v>
      </c>
      <c r="BF4" s="595"/>
      <c r="BG4" s="16" t="s">
        <v>434</v>
      </c>
      <c r="BH4" s="16"/>
      <c r="BI4" s="16"/>
      <c r="BJ4" s="16"/>
      <c r="BK4" s="16"/>
    </row>
    <row r="5" spans="1:69" s="219" customFormat="1" ht="72" customHeight="1" x14ac:dyDescent="0.35">
      <c r="A5" s="326"/>
      <c r="B5" s="326"/>
      <c r="C5" s="326"/>
      <c r="D5" s="326"/>
      <c r="E5" s="326"/>
      <c r="F5" s="332"/>
      <c r="G5" s="326"/>
      <c r="H5" s="326"/>
      <c r="I5" s="335"/>
      <c r="J5" s="326"/>
      <c r="K5" s="326"/>
      <c r="L5" s="326"/>
      <c r="M5" s="560"/>
      <c r="N5" s="304"/>
      <c r="O5" s="378"/>
      <c r="P5" s="378"/>
      <c r="Q5" s="435"/>
      <c r="R5" s="378"/>
      <c r="S5" s="317"/>
      <c r="T5" s="378"/>
      <c r="U5" s="432"/>
      <c r="V5" s="378"/>
      <c r="W5" s="317"/>
      <c r="X5" s="314"/>
      <c r="Y5" s="307"/>
      <c r="Z5" s="304"/>
      <c r="AA5" s="305"/>
      <c r="AB5" s="314"/>
      <c r="AC5" s="542"/>
      <c r="AD5" s="545"/>
      <c r="AE5" s="326"/>
      <c r="AF5" s="10" t="s">
        <v>430</v>
      </c>
      <c r="AG5" s="10">
        <v>6</v>
      </c>
      <c r="AH5" s="10" t="s">
        <v>290</v>
      </c>
      <c r="AI5" s="10">
        <v>2</v>
      </c>
      <c r="AJ5" s="10">
        <v>18</v>
      </c>
      <c r="AK5" s="10" t="s">
        <v>363</v>
      </c>
      <c r="AL5" s="10">
        <v>7</v>
      </c>
      <c r="AM5" s="10">
        <v>183</v>
      </c>
      <c r="AN5" s="10" t="s">
        <v>383</v>
      </c>
      <c r="AO5" s="10">
        <v>20</v>
      </c>
      <c r="AP5" s="206">
        <f>34+23+28+25+26+19+23+25+17+22+24+12+13+22+23+20</f>
        <v>356</v>
      </c>
      <c r="AQ5" s="206" t="s">
        <v>526</v>
      </c>
      <c r="AR5" s="206">
        <v>3</v>
      </c>
      <c r="AS5" s="206">
        <v>127</v>
      </c>
      <c r="AT5" s="11">
        <v>12</v>
      </c>
      <c r="AU5" s="206"/>
      <c r="AV5" s="326"/>
      <c r="AW5" s="12" t="s">
        <v>35</v>
      </c>
      <c r="AX5" s="13">
        <v>100000000</v>
      </c>
      <c r="AY5" s="548"/>
      <c r="AZ5" s="14" t="s">
        <v>38</v>
      </c>
      <c r="BA5" s="620"/>
      <c r="BB5" s="613"/>
      <c r="BC5" s="554"/>
      <c r="BD5" s="570"/>
      <c r="BE5" s="133" t="s">
        <v>384</v>
      </c>
      <c r="BF5" s="595"/>
      <c r="BG5" s="16" t="s">
        <v>436</v>
      </c>
      <c r="BH5" s="16"/>
      <c r="BI5" s="16"/>
      <c r="BJ5" s="16"/>
      <c r="BK5" s="16"/>
    </row>
    <row r="6" spans="1:69" s="15" customFormat="1" ht="57" customHeight="1" x14ac:dyDescent="0.35">
      <c r="A6" s="326"/>
      <c r="B6" s="326"/>
      <c r="C6" s="326"/>
      <c r="D6" s="326"/>
      <c r="E6" s="326"/>
      <c r="F6" s="332"/>
      <c r="G6" s="326"/>
      <c r="H6" s="326"/>
      <c r="I6" s="335"/>
      <c r="J6" s="326"/>
      <c r="K6" s="326"/>
      <c r="L6" s="326"/>
      <c r="M6" s="560"/>
      <c r="N6" s="304"/>
      <c r="O6" s="378"/>
      <c r="P6" s="378"/>
      <c r="Q6" s="435"/>
      <c r="R6" s="378"/>
      <c r="S6" s="317"/>
      <c r="T6" s="378"/>
      <c r="U6" s="432"/>
      <c r="V6" s="378"/>
      <c r="W6" s="317"/>
      <c r="X6" s="314"/>
      <c r="Y6" s="307"/>
      <c r="Z6" s="304"/>
      <c r="AA6" s="305"/>
      <c r="AB6" s="314"/>
      <c r="AC6" s="542"/>
      <c r="AD6" s="545"/>
      <c r="AE6" s="326"/>
      <c r="AF6" s="10" t="s">
        <v>39</v>
      </c>
      <c r="AG6" s="10">
        <v>1</v>
      </c>
      <c r="AH6" s="10"/>
      <c r="AI6" s="10"/>
      <c r="AJ6" s="10"/>
      <c r="AK6" s="10"/>
      <c r="AL6" s="10"/>
      <c r="AM6" s="10"/>
      <c r="AN6" s="10" t="s">
        <v>381</v>
      </c>
      <c r="AO6" s="10">
        <v>5</v>
      </c>
      <c r="AP6" s="206">
        <v>36</v>
      </c>
      <c r="AQ6" s="206" t="s">
        <v>527</v>
      </c>
      <c r="AR6" s="206">
        <v>1</v>
      </c>
      <c r="AS6" s="206">
        <v>36</v>
      </c>
      <c r="AT6" s="11">
        <v>3</v>
      </c>
      <c r="AU6" s="206"/>
      <c r="AV6" s="326"/>
      <c r="AW6" s="12" t="s">
        <v>35</v>
      </c>
      <c r="AX6" s="13">
        <v>50000000</v>
      </c>
      <c r="AY6" s="548"/>
      <c r="AZ6" s="14" t="s">
        <v>38</v>
      </c>
      <c r="BA6" s="620"/>
      <c r="BB6" s="613"/>
      <c r="BC6" s="554"/>
      <c r="BD6" s="570"/>
      <c r="BE6" s="133" t="s">
        <v>382</v>
      </c>
      <c r="BF6" s="595"/>
      <c r="BG6" s="16"/>
      <c r="BH6" s="16"/>
      <c r="BI6" s="16"/>
      <c r="BJ6" s="16"/>
      <c r="BK6" s="16"/>
    </row>
    <row r="7" spans="1:69" s="15" customFormat="1" ht="86.15" customHeight="1" x14ac:dyDescent="0.35">
      <c r="A7" s="326"/>
      <c r="B7" s="326"/>
      <c r="C7" s="326"/>
      <c r="D7" s="326"/>
      <c r="E7" s="326"/>
      <c r="F7" s="332"/>
      <c r="G7" s="326"/>
      <c r="H7" s="326"/>
      <c r="I7" s="335"/>
      <c r="J7" s="326"/>
      <c r="K7" s="326"/>
      <c r="L7" s="326"/>
      <c r="M7" s="560"/>
      <c r="N7" s="304"/>
      <c r="O7" s="378"/>
      <c r="P7" s="378"/>
      <c r="Q7" s="435"/>
      <c r="R7" s="378"/>
      <c r="S7" s="317"/>
      <c r="T7" s="378"/>
      <c r="U7" s="432"/>
      <c r="V7" s="378"/>
      <c r="W7" s="317"/>
      <c r="X7" s="314"/>
      <c r="Y7" s="307"/>
      <c r="Z7" s="304"/>
      <c r="AA7" s="305"/>
      <c r="AB7" s="314"/>
      <c r="AC7" s="542"/>
      <c r="AD7" s="545"/>
      <c r="AE7" s="326"/>
      <c r="AF7" s="10" t="s">
        <v>40</v>
      </c>
      <c r="AG7" s="10">
        <v>18</v>
      </c>
      <c r="AH7" s="10"/>
      <c r="AI7" s="10"/>
      <c r="AJ7" s="10"/>
      <c r="AK7" s="10"/>
      <c r="AL7" s="10"/>
      <c r="AM7" s="10"/>
      <c r="AN7" s="10"/>
      <c r="AO7" s="10"/>
      <c r="AP7" s="206"/>
      <c r="AQ7" s="206" t="s">
        <v>528</v>
      </c>
      <c r="AR7" s="206">
        <v>18</v>
      </c>
      <c r="AS7" s="206">
        <v>3627</v>
      </c>
      <c r="AT7" s="11">
        <v>18</v>
      </c>
      <c r="AU7" s="206"/>
      <c r="AV7" s="326"/>
      <c r="AW7" s="12" t="s">
        <v>35</v>
      </c>
      <c r="AX7" s="13">
        <v>95000000</v>
      </c>
      <c r="AY7" s="548"/>
      <c r="AZ7" s="14" t="s">
        <v>38</v>
      </c>
      <c r="BA7" s="620"/>
      <c r="BB7" s="613"/>
      <c r="BC7" s="554"/>
      <c r="BD7" s="570"/>
      <c r="BE7" s="133"/>
      <c r="BF7" s="595"/>
      <c r="BG7" s="16"/>
      <c r="BI7" s="16"/>
    </row>
    <row r="8" spans="1:69" s="15" customFormat="1" ht="70" customHeight="1" x14ac:dyDescent="0.35">
      <c r="A8" s="326"/>
      <c r="B8" s="326"/>
      <c r="C8" s="326"/>
      <c r="D8" s="326"/>
      <c r="E8" s="326"/>
      <c r="F8" s="332"/>
      <c r="G8" s="326"/>
      <c r="H8" s="326"/>
      <c r="I8" s="335"/>
      <c r="J8" s="326"/>
      <c r="K8" s="326"/>
      <c r="L8" s="326"/>
      <c r="M8" s="560"/>
      <c r="N8" s="304"/>
      <c r="O8" s="378"/>
      <c r="P8" s="378"/>
      <c r="Q8" s="435"/>
      <c r="R8" s="378"/>
      <c r="S8" s="317"/>
      <c r="T8" s="378"/>
      <c r="U8" s="432"/>
      <c r="V8" s="378"/>
      <c r="W8" s="317"/>
      <c r="X8" s="314"/>
      <c r="Y8" s="307"/>
      <c r="Z8" s="304"/>
      <c r="AA8" s="305"/>
      <c r="AB8" s="314"/>
      <c r="AC8" s="542"/>
      <c r="AD8" s="545"/>
      <c r="AE8" s="326"/>
      <c r="AF8" s="10" t="s">
        <v>41</v>
      </c>
      <c r="AG8" s="10">
        <v>3</v>
      </c>
      <c r="AH8" s="10" t="s">
        <v>289</v>
      </c>
      <c r="AI8" s="10">
        <v>1</v>
      </c>
      <c r="AJ8" s="10"/>
      <c r="AK8" s="10"/>
      <c r="AL8" s="10"/>
      <c r="AM8" s="10"/>
      <c r="AN8" s="10" t="s">
        <v>385</v>
      </c>
      <c r="AO8" s="10">
        <v>3</v>
      </c>
      <c r="AP8" s="206">
        <v>104</v>
      </c>
      <c r="AQ8" s="206" t="s">
        <v>529</v>
      </c>
      <c r="AR8" s="206">
        <v>4</v>
      </c>
      <c r="AS8" s="206">
        <v>98</v>
      </c>
      <c r="AT8" s="11">
        <v>6</v>
      </c>
      <c r="AU8" s="206"/>
      <c r="AV8" s="326"/>
      <c r="AW8" s="12" t="s">
        <v>35</v>
      </c>
      <c r="AX8" s="13">
        <v>30000000</v>
      </c>
      <c r="AY8" s="548"/>
      <c r="AZ8" s="14" t="s">
        <v>38</v>
      </c>
      <c r="BA8" s="620"/>
      <c r="BB8" s="613"/>
      <c r="BC8" s="554"/>
      <c r="BD8" s="570"/>
      <c r="BE8" s="133" t="s">
        <v>386</v>
      </c>
      <c r="BF8" s="595"/>
      <c r="BG8" s="16"/>
      <c r="BI8" s="16"/>
    </row>
    <row r="9" spans="1:69" s="15" customFormat="1" ht="79" customHeight="1" x14ac:dyDescent="0.35">
      <c r="A9" s="326"/>
      <c r="B9" s="326"/>
      <c r="C9" s="326"/>
      <c r="D9" s="326"/>
      <c r="E9" s="326"/>
      <c r="F9" s="332"/>
      <c r="G9" s="326"/>
      <c r="H9" s="326"/>
      <c r="I9" s="335"/>
      <c r="J9" s="326"/>
      <c r="K9" s="326"/>
      <c r="L9" s="326"/>
      <c r="M9" s="560"/>
      <c r="N9" s="304"/>
      <c r="O9" s="378"/>
      <c r="P9" s="378"/>
      <c r="Q9" s="435"/>
      <c r="R9" s="378"/>
      <c r="S9" s="317"/>
      <c r="T9" s="378"/>
      <c r="U9" s="432"/>
      <c r="V9" s="378"/>
      <c r="W9" s="317"/>
      <c r="X9" s="314"/>
      <c r="Y9" s="307"/>
      <c r="Z9" s="304"/>
      <c r="AA9" s="305"/>
      <c r="AB9" s="314"/>
      <c r="AC9" s="542"/>
      <c r="AD9" s="545"/>
      <c r="AE9" s="326"/>
      <c r="AF9" s="10" t="s">
        <v>42</v>
      </c>
      <c r="AG9" s="10">
        <v>75</v>
      </c>
      <c r="AH9" s="10" t="s">
        <v>269</v>
      </c>
      <c r="AI9" s="10">
        <v>8</v>
      </c>
      <c r="AJ9" s="10">
        <v>600</v>
      </c>
      <c r="AK9" s="10"/>
      <c r="AL9" s="10"/>
      <c r="AM9" s="10"/>
      <c r="AN9" s="10" t="s">
        <v>387</v>
      </c>
      <c r="AO9" s="10">
        <v>20</v>
      </c>
      <c r="AP9" s="206">
        <f>500</f>
        <v>500</v>
      </c>
      <c r="AQ9" s="206" t="s">
        <v>530</v>
      </c>
      <c r="AR9" s="206">
        <v>27</v>
      </c>
      <c r="AS9" s="206">
        <v>810</v>
      </c>
      <c r="AT9" s="11">
        <v>219</v>
      </c>
      <c r="AU9" s="206"/>
      <c r="AV9" s="326"/>
      <c r="AW9" s="12" t="s">
        <v>35</v>
      </c>
      <c r="AX9" s="13">
        <v>80000000</v>
      </c>
      <c r="AY9" s="548"/>
      <c r="AZ9" s="14" t="s">
        <v>38</v>
      </c>
      <c r="BA9" s="620"/>
      <c r="BB9" s="613"/>
      <c r="BC9" s="554"/>
      <c r="BD9" s="570"/>
      <c r="BE9" s="133"/>
      <c r="BF9" s="595"/>
      <c r="BG9" s="16"/>
      <c r="BI9" s="16"/>
    </row>
    <row r="10" spans="1:69" s="219" customFormat="1" ht="82" customHeight="1" x14ac:dyDescent="0.35">
      <c r="A10" s="326"/>
      <c r="B10" s="326"/>
      <c r="C10" s="326"/>
      <c r="D10" s="326"/>
      <c r="E10" s="326"/>
      <c r="F10" s="332"/>
      <c r="G10" s="326"/>
      <c r="H10" s="326"/>
      <c r="I10" s="335"/>
      <c r="J10" s="326"/>
      <c r="K10" s="326"/>
      <c r="L10" s="326"/>
      <c r="M10" s="560"/>
      <c r="N10" s="304"/>
      <c r="O10" s="378"/>
      <c r="P10" s="378"/>
      <c r="Q10" s="435"/>
      <c r="R10" s="378"/>
      <c r="S10" s="317"/>
      <c r="T10" s="378"/>
      <c r="U10" s="432"/>
      <c r="V10" s="378"/>
      <c r="W10" s="317"/>
      <c r="X10" s="314"/>
      <c r="Y10" s="307"/>
      <c r="Z10" s="304"/>
      <c r="AA10" s="305"/>
      <c r="AB10" s="314"/>
      <c r="AC10" s="542"/>
      <c r="AD10" s="545"/>
      <c r="AE10" s="326"/>
      <c r="AF10" s="10" t="s">
        <v>44</v>
      </c>
      <c r="AG10" s="10">
        <v>108</v>
      </c>
      <c r="AH10" s="10" t="s">
        <v>270</v>
      </c>
      <c r="AI10" s="10">
        <v>18</v>
      </c>
      <c r="AJ10" s="10">
        <v>629</v>
      </c>
      <c r="AK10" s="10" t="s">
        <v>364</v>
      </c>
      <c r="AL10" s="10">
        <v>234</v>
      </c>
      <c r="AM10" s="10">
        <v>3510</v>
      </c>
      <c r="AN10" s="10" t="s">
        <v>388</v>
      </c>
      <c r="AO10" s="10">
        <v>95</v>
      </c>
      <c r="AP10" s="206">
        <f>36+43+219+26+20+25+30+1149</f>
        <v>1548</v>
      </c>
      <c r="AQ10" s="206" t="s">
        <v>531</v>
      </c>
      <c r="AR10" s="206">
        <v>259</v>
      </c>
      <c r="AS10" s="206">
        <v>9220</v>
      </c>
      <c r="AT10" s="11" t="s">
        <v>45</v>
      </c>
      <c r="AU10" s="206"/>
      <c r="AV10" s="326"/>
      <c r="AW10" s="12" t="s">
        <v>35</v>
      </c>
      <c r="AX10" s="13">
        <v>100000000</v>
      </c>
      <c r="AY10" s="548"/>
      <c r="AZ10" s="14" t="s">
        <v>38</v>
      </c>
      <c r="BA10" s="620"/>
      <c r="BB10" s="613"/>
      <c r="BC10" s="554"/>
      <c r="BD10" s="570"/>
      <c r="BE10" s="133" t="s">
        <v>389</v>
      </c>
      <c r="BF10" s="595"/>
      <c r="BG10" s="15"/>
      <c r="BH10" s="15"/>
      <c r="BI10" s="15"/>
      <c r="BJ10" s="15"/>
      <c r="BK10" s="15"/>
      <c r="BL10" s="15"/>
      <c r="BM10" s="15"/>
      <c r="BN10" s="15"/>
      <c r="BO10" s="15"/>
      <c r="BP10" s="15"/>
      <c r="BQ10" s="15"/>
    </row>
    <row r="11" spans="1:69" s="219" customFormat="1" ht="80.150000000000006" customHeight="1" x14ac:dyDescent="0.35">
      <c r="A11" s="326"/>
      <c r="B11" s="326"/>
      <c r="C11" s="326"/>
      <c r="D11" s="326"/>
      <c r="E11" s="326"/>
      <c r="F11" s="332"/>
      <c r="G11" s="326"/>
      <c r="H11" s="326"/>
      <c r="I11" s="335"/>
      <c r="J11" s="326"/>
      <c r="K11" s="326"/>
      <c r="L11" s="326"/>
      <c r="M11" s="560"/>
      <c r="N11" s="304"/>
      <c r="O11" s="378"/>
      <c r="P11" s="378"/>
      <c r="Q11" s="435"/>
      <c r="R11" s="378"/>
      <c r="S11" s="317"/>
      <c r="T11" s="378"/>
      <c r="U11" s="432"/>
      <c r="V11" s="378"/>
      <c r="W11" s="317"/>
      <c r="X11" s="314"/>
      <c r="Y11" s="307"/>
      <c r="Z11" s="304"/>
      <c r="AA11" s="305"/>
      <c r="AB11" s="314"/>
      <c r="AC11" s="542"/>
      <c r="AD11" s="545"/>
      <c r="AE11" s="326"/>
      <c r="AF11" s="10" t="s">
        <v>46</v>
      </c>
      <c r="AG11" s="10">
        <v>54</v>
      </c>
      <c r="AH11" s="10" t="s">
        <v>271</v>
      </c>
      <c r="AI11" s="10">
        <v>15</v>
      </c>
      <c r="AJ11" s="10">
        <v>240</v>
      </c>
      <c r="AK11" s="10" t="s">
        <v>365</v>
      </c>
      <c r="AL11" s="10">
        <v>25</v>
      </c>
      <c r="AM11" s="10">
        <v>150</v>
      </c>
      <c r="AN11" s="10" t="s">
        <v>390</v>
      </c>
      <c r="AO11" s="10">
        <v>141</v>
      </c>
      <c r="AP11" s="206">
        <v>980</v>
      </c>
      <c r="AQ11" s="206" t="s">
        <v>532</v>
      </c>
      <c r="AR11" s="206">
        <v>227</v>
      </c>
      <c r="AS11" s="206">
        <v>3136</v>
      </c>
      <c r="AT11" s="11">
        <v>162</v>
      </c>
      <c r="AU11" s="206"/>
      <c r="AV11" s="326"/>
      <c r="AW11" s="12" t="s">
        <v>35</v>
      </c>
      <c r="AX11" s="13">
        <v>80000000</v>
      </c>
      <c r="AY11" s="548"/>
      <c r="AZ11" s="14" t="s">
        <v>38</v>
      </c>
      <c r="BA11" s="620"/>
      <c r="BB11" s="613"/>
      <c r="BC11" s="554"/>
      <c r="BD11" s="570"/>
      <c r="BE11" s="133" t="s">
        <v>391</v>
      </c>
      <c r="BF11" s="595"/>
      <c r="BG11" s="15"/>
      <c r="BH11" s="15"/>
      <c r="BI11" s="15"/>
      <c r="BJ11" s="15"/>
      <c r="BK11" s="15"/>
      <c r="BL11" s="15"/>
      <c r="BM11" s="15"/>
      <c r="BN11" s="15"/>
      <c r="BO11" s="15"/>
      <c r="BP11" s="15"/>
      <c r="BQ11" s="15"/>
    </row>
    <row r="12" spans="1:69" s="15" customFormat="1" ht="83.15" customHeight="1" x14ac:dyDescent="0.35">
      <c r="A12" s="326"/>
      <c r="B12" s="326"/>
      <c r="C12" s="326"/>
      <c r="D12" s="326"/>
      <c r="E12" s="326"/>
      <c r="F12" s="332"/>
      <c r="G12" s="326"/>
      <c r="H12" s="327"/>
      <c r="I12" s="336"/>
      <c r="J12" s="327"/>
      <c r="K12" s="327"/>
      <c r="L12" s="327"/>
      <c r="M12" s="561"/>
      <c r="N12" s="304"/>
      <c r="O12" s="378"/>
      <c r="P12" s="378"/>
      <c r="Q12" s="435"/>
      <c r="R12" s="378"/>
      <c r="S12" s="317"/>
      <c r="T12" s="378"/>
      <c r="U12" s="432"/>
      <c r="V12" s="378"/>
      <c r="W12" s="317"/>
      <c r="X12" s="314"/>
      <c r="Y12" s="308"/>
      <c r="Z12" s="304"/>
      <c r="AA12" s="305"/>
      <c r="AB12" s="315"/>
      <c r="AC12" s="542"/>
      <c r="AD12" s="545"/>
      <c r="AE12" s="326"/>
      <c r="AF12" s="10" t="s">
        <v>47</v>
      </c>
      <c r="AG12" s="10">
        <v>180</v>
      </c>
      <c r="AH12" s="10"/>
      <c r="AI12" s="10"/>
      <c r="AJ12" s="10"/>
      <c r="AK12" s="10" t="s">
        <v>366</v>
      </c>
      <c r="AL12" s="10">
        <v>18</v>
      </c>
      <c r="AM12" s="10">
        <v>180</v>
      </c>
      <c r="AN12" s="10" t="s">
        <v>392</v>
      </c>
      <c r="AO12" s="10">
        <v>9</v>
      </c>
      <c r="AP12" s="206">
        <f>19+7+20+20+20+20+112</f>
        <v>218</v>
      </c>
      <c r="AQ12" s="206" t="s">
        <v>533</v>
      </c>
      <c r="AR12" s="206">
        <v>7</v>
      </c>
      <c r="AS12" s="206">
        <v>4495</v>
      </c>
      <c r="AT12" s="11">
        <v>414</v>
      </c>
      <c r="AU12" s="206"/>
      <c r="AV12" s="326"/>
      <c r="AW12" s="12" t="s">
        <v>48</v>
      </c>
      <c r="AX12" s="13">
        <v>20000000</v>
      </c>
      <c r="AY12" s="548"/>
      <c r="AZ12" s="14" t="s">
        <v>37</v>
      </c>
      <c r="BA12" s="620"/>
      <c r="BB12" s="613"/>
      <c r="BC12" s="554"/>
      <c r="BD12" s="570"/>
      <c r="BE12" s="133" t="s">
        <v>393</v>
      </c>
      <c r="BF12" s="595"/>
    </row>
    <row r="13" spans="1:69" s="219" customFormat="1" ht="75.75" customHeight="1" x14ac:dyDescent="0.35">
      <c r="A13" s="326"/>
      <c r="B13" s="326"/>
      <c r="C13" s="326"/>
      <c r="D13" s="326"/>
      <c r="E13" s="326"/>
      <c r="F13" s="332"/>
      <c r="G13" s="326"/>
      <c r="H13" s="325" t="s">
        <v>49</v>
      </c>
      <c r="I13" s="334" t="s">
        <v>50</v>
      </c>
      <c r="J13" s="325" t="s">
        <v>49</v>
      </c>
      <c r="K13" s="325" t="s">
        <v>51</v>
      </c>
      <c r="L13" s="325">
        <v>200</v>
      </c>
      <c r="M13" s="559">
        <v>50</v>
      </c>
      <c r="N13" s="304">
        <f>M13/L13</f>
        <v>0.25</v>
      </c>
      <c r="O13" s="378"/>
      <c r="P13" s="393">
        <f>M13/720</f>
        <v>6.9444444444444448E-2</v>
      </c>
      <c r="Q13" s="431">
        <v>50</v>
      </c>
      <c r="R13" s="304">
        <f>(Q13+M13)/L13</f>
        <v>0.5</v>
      </c>
      <c r="S13" s="317"/>
      <c r="T13" s="304">
        <f>(Q13+M13)/720</f>
        <v>0.1388888888888889</v>
      </c>
      <c r="U13" s="431">
        <f>AO13+AO14</f>
        <v>14</v>
      </c>
      <c r="V13" s="304">
        <f>(M13+Q13+U13)/L13</f>
        <v>0.56999999999999995</v>
      </c>
      <c r="W13" s="317"/>
      <c r="X13" s="304">
        <f>(M13+Q13+U13)/720</f>
        <v>0.15833333333333333</v>
      </c>
      <c r="Y13" s="306">
        <f>AR13+AR14</f>
        <v>57</v>
      </c>
      <c r="Z13" s="304">
        <f>(Y13+U13+Q13+M13)/L13</f>
        <v>0.85499999999999998</v>
      </c>
      <c r="AA13" s="305"/>
      <c r="AB13" s="313">
        <f>(Y13+U13+Q13+M13)/720</f>
        <v>0.23749999999999999</v>
      </c>
      <c r="AC13" s="542"/>
      <c r="AD13" s="545"/>
      <c r="AE13" s="326"/>
      <c r="AF13" s="10" t="s">
        <v>431</v>
      </c>
      <c r="AG13" s="10">
        <v>126</v>
      </c>
      <c r="AH13" s="10" t="s">
        <v>272</v>
      </c>
      <c r="AI13" s="10">
        <v>18</v>
      </c>
      <c r="AJ13" s="10">
        <f>1336+15236</f>
        <v>16572</v>
      </c>
      <c r="AK13" s="10" t="s">
        <v>349</v>
      </c>
      <c r="AL13" s="10">
        <v>5</v>
      </c>
      <c r="AM13" s="10">
        <f>1100+1436+1200+4112+12957</f>
        <v>20805</v>
      </c>
      <c r="AN13" s="10" t="s">
        <v>394</v>
      </c>
      <c r="AO13" s="10">
        <v>10</v>
      </c>
      <c r="AP13" s="206">
        <f>197+249</f>
        <v>446</v>
      </c>
      <c r="AQ13" s="206" t="s">
        <v>534</v>
      </c>
      <c r="AR13" s="206">
        <v>50</v>
      </c>
      <c r="AS13" s="206">
        <v>1369</v>
      </c>
      <c r="AT13" s="11">
        <v>670</v>
      </c>
      <c r="AU13" s="206"/>
      <c r="AV13" s="326"/>
      <c r="AW13" s="12" t="s">
        <v>48</v>
      </c>
      <c r="AX13" s="13">
        <v>122356000</v>
      </c>
      <c r="AY13" s="548"/>
      <c r="AZ13" s="14" t="s">
        <v>37</v>
      </c>
      <c r="BA13" s="620"/>
      <c r="BB13" s="613"/>
      <c r="BC13" s="554"/>
      <c r="BD13" s="570"/>
      <c r="BE13" s="133" t="s">
        <v>395</v>
      </c>
      <c r="BF13" s="595"/>
      <c r="BG13" s="15"/>
      <c r="BH13" s="15"/>
      <c r="BI13" s="15"/>
      <c r="BJ13" s="15"/>
      <c r="BK13" s="15"/>
      <c r="BL13" s="15"/>
      <c r="BM13" s="15"/>
      <c r="BN13" s="15"/>
      <c r="BO13" s="15"/>
      <c r="BP13" s="15"/>
      <c r="BQ13" s="15"/>
    </row>
    <row r="14" spans="1:69" s="15" customFormat="1" ht="86.15" customHeight="1" x14ac:dyDescent="0.35">
      <c r="A14" s="326"/>
      <c r="B14" s="326"/>
      <c r="C14" s="326"/>
      <c r="D14" s="326"/>
      <c r="E14" s="326"/>
      <c r="F14" s="332"/>
      <c r="G14" s="326"/>
      <c r="H14" s="327"/>
      <c r="I14" s="336"/>
      <c r="J14" s="327"/>
      <c r="K14" s="327"/>
      <c r="L14" s="327"/>
      <c r="M14" s="561"/>
      <c r="N14" s="304"/>
      <c r="O14" s="378"/>
      <c r="P14" s="379"/>
      <c r="Q14" s="431"/>
      <c r="R14" s="304"/>
      <c r="S14" s="317"/>
      <c r="T14" s="304"/>
      <c r="U14" s="431"/>
      <c r="V14" s="304"/>
      <c r="W14" s="317"/>
      <c r="X14" s="304"/>
      <c r="Y14" s="308"/>
      <c r="Z14" s="304"/>
      <c r="AA14" s="305"/>
      <c r="AB14" s="315"/>
      <c r="AC14" s="542"/>
      <c r="AD14" s="545"/>
      <c r="AE14" s="326"/>
      <c r="AF14" s="10" t="s">
        <v>432</v>
      </c>
      <c r="AG14" s="10">
        <v>36</v>
      </c>
      <c r="AH14" s="10" t="s">
        <v>273</v>
      </c>
      <c r="AI14" s="10">
        <v>10</v>
      </c>
      <c r="AJ14" s="10">
        <f>147+3578</f>
        <v>3725</v>
      </c>
      <c r="AK14" s="10" t="s">
        <v>346</v>
      </c>
      <c r="AL14" s="10">
        <v>3</v>
      </c>
      <c r="AM14" s="10">
        <f>2674</f>
        <v>2674</v>
      </c>
      <c r="AN14" s="10" t="s">
        <v>396</v>
      </c>
      <c r="AO14" s="10">
        <v>4</v>
      </c>
      <c r="AP14" s="206">
        <v>88</v>
      </c>
      <c r="AQ14" s="206" t="s">
        <v>535</v>
      </c>
      <c r="AR14" s="206">
        <v>7</v>
      </c>
      <c r="AS14" s="206">
        <v>953</v>
      </c>
      <c r="AT14" s="11">
        <v>50</v>
      </c>
      <c r="AU14" s="206"/>
      <c r="AV14" s="326"/>
      <c r="AW14" s="12" t="s">
        <v>48</v>
      </c>
      <c r="AX14" s="13">
        <v>45000000</v>
      </c>
      <c r="AY14" s="548"/>
      <c r="AZ14" s="14" t="s">
        <v>37</v>
      </c>
      <c r="BA14" s="620"/>
      <c r="BB14" s="613"/>
      <c r="BC14" s="554"/>
      <c r="BD14" s="570"/>
      <c r="BE14" s="133" t="s">
        <v>293</v>
      </c>
      <c r="BF14" s="595"/>
    </row>
    <row r="15" spans="1:69" s="15" customFormat="1" ht="87" customHeight="1" x14ac:dyDescent="0.35">
      <c r="A15" s="326"/>
      <c r="B15" s="326"/>
      <c r="C15" s="326"/>
      <c r="D15" s="326"/>
      <c r="E15" s="326"/>
      <c r="F15" s="332"/>
      <c r="G15" s="326"/>
      <c r="H15" s="325" t="s">
        <v>52</v>
      </c>
      <c r="I15" s="334" t="s">
        <v>53</v>
      </c>
      <c r="J15" s="325" t="s">
        <v>52</v>
      </c>
      <c r="K15" s="325" t="s">
        <v>54</v>
      </c>
      <c r="L15" s="325">
        <v>100</v>
      </c>
      <c r="M15" s="559">
        <v>15</v>
      </c>
      <c r="N15" s="304">
        <f>M15/L15</f>
        <v>0.15</v>
      </c>
      <c r="O15" s="378"/>
      <c r="P15" s="393">
        <f>M15/300</f>
        <v>0.05</v>
      </c>
      <c r="Q15" s="432">
        <v>15</v>
      </c>
      <c r="R15" s="378">
        <f>(Q15+M15)/L15</f>
        <v>0.3</v>
      </c>
      <c r="S15" s="317"/>
      <c r="T15" s="378">
        <f>(M15+Q15)/300</f>
        <v>0.1</v>
      </c>
      <c r="U15" s="432">
        <f>AO15+AO16+AO17</f>
        <v>185</v>
      </c>
      <c r="V15" s="378">
        <v>1</v>
      </c>
      <c r="W15" s="317"/>
      <c r="X15" s="378">
        <f>(M15+Q15+U15)/300</f>
        <v>0.71666666666666667</v>
      </c>
      <c r="Y15" s="306">
        <f>AR15+AR16+AR17</f>
        <v>296</v>
      </c>
      <c r="Z15" s="304">
        <v>1</v>
      </c>
      <c r="AA15" s="305"/>
      <c r="AB15" s="316">
        <v>1</v>
      </c>
      <c r="AC15" s="542"/>
      <c r="AD15" s="545"/>
      <c r="AE15" s="326"/>
      <c r="AF15" s="10" t="s">
        <v>55</v>
      </c>
      <c r="AG15" s="10">
        <v>100</v>
      </c>
      <c r="AH15" s="10" t="s">
        <v>274</v>
      </c>
      <c r="AI15" s="10"/>
      <c r="AJ15" s="10">
        <v>1800</v>
      </c>
      <c r="AK15" s="10" t="s">
        <v>351</v>
      </c>
      <c r="AL15" s="10">
        <v>15</v>
      </c>
      <c r="AM15" s="10">
        <f>1639</f>
        <v>1639</v>
      </c>
      <c r="AN15" s="10" t="s">
        <v>397</v>
      </c>
      <c r="AO15" s="10">
        <f>32+19+18</f>
        <v>69</v>
      </c>
      <c r="AP15" s="206">
        <f>698+596+304</f>
        <v>1598</v>
      </c>
      <c r="AQ15" s="206" t="s">
        <v>536</v>
      </c>
      <c r="AR15" s="206">
        <v>14</v>
      </c>
      <c r="AS15" s="206">
        <v>1366</v>
      </c>
      <c r="AT15" s="11">
        <v>300</v>
      </c>
      <c r="AU15" s="206"/>
      <c r="AV15" s="326"/>
      <c r="AW15" s="12" t="s">
        <v>56</v>
      </c>
      <c r="AX15" s="13">
        <v>25000000</v>
      </c>
      <c r="AY15" s="548"/>
      <c r="AZ15" s="14" t="s">
        <v>57</v>
      </c>
      <c r="BA15" s="620"/>
      <c r="BB15" s="613"/>
      <c r="BC15" s="554"/>
      <c r="BD15" s="570"/>
      <c r="BE15" s="133" t="s">
        <v>398</v>
      </c>
      <c r="BF15" s="595"/>
    </row>
    <row r="16" spans="1:69" s="15" customFormat="1" ht="101.15" customHeight="1" x14ac:dyDescent="0.35">
      <c r="A16" s="326"/>
      <c r="B16" s="326"/>
      <c r="C16" s="326"/>
      <c r="D16" s="326"/>
      <c r="E16" s="326"/>
      <c r="F16" s="332"/>
      <c r="G16" s="326"/>
      <c r="H16" s="326"/>
      <c r="I16" s="335"/>
      <c r="J16" s="326"/>
      <c r="K16" s="326"/>
      <c r="L16" s="326"/>
      <c r="M16" s="560"/>
      <c r="N16" s="304"/>
      <c r="O16" s="378"/>
      <c r="P16" s="378"/>
      <c r="Q16" s="432"/>
      <c r="R16" s="378"/>
      <c r="S16" s="317"/>
      <c r="T16" s="378"/>
      <c r="U16" s="432"/>
      <c r="V16" s="378"/>
      <c r="W16" s="317"/>
      <c r="X16" s="378"/>
      <c r="Y16" s="307"/>
      <c r="Z16" s="304"/>
      <c r="AA16" s="305"/>
      <c r="AB16" s="317"/>
      <c r="AC16" s="542"/>
      <c r="AD16" s="545"/>
      <c r="AE16" s="326"/>
      <c r="AF16" s="10" t="s">
        <v>58</v>
      </c>
      <c r="AG16" s="10">
        <v>18</v>
      </c>
      <c r="AH16" s="10" t="s">
        <v>275</v>
      </c>
      <c r="AI16" s="10">
        <v>3</v>
      </c>
      <c r="AJ16" s="10">
        <v>886</v>
      </c>
      <c r="AK16" s="10"/>
      <c r="AL16" s="10"/>
      <c r="AM16" s="10"/>
      <c r="AN16" s="10" t="s">
        <v>399</v>
      </c>
      <c r="AO16" s="10">
        <v>20</v>
      </c>
      <c r="AP16" s="206">
        <v>105</v>
      </c>
      <c r="AQ16" s="206" t="s">
        <v>538</v>
      </c>
      <c r="AR16" s="206">
        <v>7</v>
      </c>
      <c r="AS16" s="206">
        <v>105</v>
      </c>
      <c r="AT16" s="11">
        <v>18</v>
      </c>
      <c r="AU16" s="206"/>
      <c r="AV16" s="326"/>
      <c r="AW16" s="12" t="s">
        <v>59</v>
      </c>
      <c r="AX16" s="13">
        <v>20000000</v>
      </c>
      <c r="AY16" s="548"/>
      <c r="AZ16" s="14" t="s">
        <v>60</v>
      </c>
      <c r="BA16" s="620"/>
      <c r="BB16" s="613"/>
      <c r="BC16" s="554"/>
      <c r="BD16" s="570"/>
      <c r="BE16" s="133" t="s">
        <v>294</v>
      </c>
      <c r="BF16" s="595"/>
    </row>
    <row r="17" spans="1:69" s="15" customFormat="1" ht="97" customHeight="1" x14ac:dyDescent="0.35">
      <c r="A17" s="326"/>
      <c r="B17" s="326"/>
      <c r="C17" s="327"/>
      <c r="D17" s="327"/>
      <c r="E17" s="327"/>
      <c r="F17" s="333"/>
      <c r="G17" s="327"/>
      <c r="H17" s="327"/>
      <c r="I17" s="336"/>
      <c r="J17" s="327"/>
      <c r="K17" s="327"/>
      <c r="L17" s="327"/>
      <c r="M17" s="561"/>
      <c r="N17" s="304"/>
      <c r="O17" s="379"/>
      <c r="P17" s="379"/>
      <c r="Q17" s="433"/>
      <c r="R17" s="379"/>
      <c r="S17" s="318"/>
      <c r="T17" s="379"/>
      <c r="U17" s="433"/>
      <c r="V17" s="379"/>
      <c r="W17" s="318"/>
      <c r="X17" s="379"/>
      <c r="Y17" s="308"/>
      <c r="Z17" s="304"/>
      <c r="AA17" s="305"/>
      <c r="AB17" s="318"/>
      <c r="AC17" s="543"/>
      <c r="AD17" s="546"/>
      <c r="AE17" s="327"/>
      <c r="AF17" s="10" t="s">
        <v>61</v>
      </c>
      <c r="AG17" s="10">
        <v>36</v>
      </c>
      <c r="AH17" s="10"/>
      <c r="AI17" s="10"/>
      <c r="AJ17" s="10"/>
      <c r="AK17" s="10"/>
      <c r="AL17" s="10"/>
      <c r="AM17" s="10"/>
      <c r="AN17" s="10" t="s">
        <v>400</v>
      </c>
      <c r="AO17" s="10">
        <v>96</v>
      </c>
      <c r="AP17" s="206">
        <v>1428</v>
      </c>
      <c r="AQ17" s="206" t="s">
        <v>537</v>
      </c>
      <c r="AR17" s="206">
        <f>96+83+96</f>
        <v>275</v>
      </c>
      <c r="AS17" s="206">
        <v>4095</v>
      </c>
      <c r="AT17" s="11">
        <v>108</v>
      </c>
      <c r="AU17" s="206"/>
      <c r="AV17" s="327"/>
      <c r="AW17" s="12" t="s">
        <v>59</v>
      </c>
      <c r="AX17" s="13">
        <f>50000000+117534000</f>
        <v>167534000</v>
      </c>
      <c r="AY17" s="549"/>
      <c r="AZ17" s="14" t="s">
        <v>60</v>
      </c>
      <c r="BA17" s="621"/>
      <c r="BB17" s="613"/>
      <c r="BC17" s="555"/>
      <c r="BD17" s="571"/>
      <c r="BE17" s="133" t="s">
        <v>401</v>
      </c>
      <c r="BF17" s="595"/>
    </row>
    <row r="18" spans="1:69" s="219" customFormat="1" ht="72" customHeight="1" x14ac:dyDescent="0.35">
      <c r="A18" s="326"/>
      <c r="B18" s="326"/>
      <c r="C18" s="530" t="s">
        <v>62</v>
      </c>
      <c r="D18" s="530" t="s">
        <v>63</v>
      </c>
      <c r="E18" s="530" t="s">
        <v>64</v>
      </c>
      <c r="F18" s="587">
        <f>(T18+T20)/2</f>
        <v>0.23809523809523808</v>
      </c>
      <c r="G18" s="530" t="s">
        <v>65</v>
      </c>
      <c r="H18" s="530" t="s">
        <v>66</v>
      </c>
      <c r="I18" s="530" t="s">
        <v>67</v>
      </c>
      <c r="J18" s="530" t="s">
        <v>68</v>
      </c>
      <c r="K18" s="530" t="s">
        <v>69</v>
      </c>
      <c r="L18" s="530">
        <v>9</v>
      </c>
      <c r="M18" s="243">
        <v>8</v>
      </c>
      <c r="N18" s="386">
        <f>(M18+M19)/L18</f>
        <v>1</v>
      </c>
      <c r="O18" s="386">
        <f>(N18+N20)/2</f>
        <v>0.5</v>
      </c>
      <c r="P18" s="386">
        <f>M18/21</f>
        <v>0.38095238095238093</v>
      </c>
      <c r="Q18" s="245">
        <v>2</v>
      </c>
      <c r="R18" s="309">
        <v>1</v>
      </c>
      <c r="S18" s="386">
        <f>(R18+R20)/2</f>
        <v>0.5</v>
      </c>
      <c r="T18" s="386">
        <f>(M18+Q18)/21</f>
        <v>0.47619047619047616</v>
      </c>
      <c r="U18" s="245">
        <v>10</v>
      </c>
      <c r="V18" s="309">
        <v>1</v>
      </c>
      <c r="W18" s="386">
        <f>(V18+V20)/2</f>
        <v>0.5</v>
      </c>
      <c r="X18" s="386">
        <f>(M18+Q18+U18)/21</f>
        <v>0.95238095238095233</v>
      </c>
      <c r="Y18" s="277">
        <v>10</v>
      </c>
      <c r="Z18" s="309">
        <v>1</v>
      </c>
      <c r="AA18" s="309">
        <v>0.5</v>
      </c>
      <c r="AB18" s="309">
        <v>0.95238095238095233</v>
      </c>
      <c r="AC18" s="530" t="s">
        <v>468</v>
      </c>
      <c r="AD18" s="533">
        <v>2020130010218</v>
      </c>
      <c r="AE18" s="530" t="s">
        <v>70</v>
      </c>
      <c r="AF18" s="18" t="s">
        <v>71</v>
      </c>
      <c r="AG18" s="17">
        <v>9</v>
      </c>
      <c r="AH18" s="116" t="s">
        <v>276</v>
      </c>
      <c r="AI18" s="159">
        <v>8</v>
      </c>
      <c r="AJ18" s="198" t="s">
        <v>299</v>
      </c>
      <c r="AK18" s="243" t="s">
        <v>358</v>
      </c>
      <c r="AL18" s="243">
        <v>2</v>
      </c>
      <c r="AM18" s="243">
        <v>2</v>
      </c>
      <c r="AN18" s="18" t="s">
        <v>404</v>
      </c>
      <c r="AO18" s="243">
        <v>10</v>
      </c>
      <c r="AP18" s="243">
        <v>10</v>
      </c>
      <c r="AQ18" s="257"/>
      <c r="AR18" s="257"/>
      <c r="AS18" s="257"/>
      <c r="AT18" s="17">
        <v>21</v>
      </c>
      <c r="AU18" s="176"/>
      <c r="AV18" s="530" t="s">
        <v>72</v>
      </c>
      <c r="AW18" s="505" t="s">
        <v>73</v>
      </c>
      <c r="AX18" s="599">
        <f>1236724357+2236373000</f>
        <v>3473097357</v>
      </c>
      <c r="AY18" s="601" t="s">
        <v>74</v>
      </c>
      <c r="AZ18" s="511" t="s">
        <v>75</v>
      </c>
      <c r="BA18" s="619">
        <f>SUM(AX18:AX23)</f>
        <v>3553097357</v>
      </c>
      <c r="BB18" s="613">
        <v>1470463851</v>
      </c>
      <c r="BC18" s="556">
        <v>1438157184.8499999</v>
      </c>
      <c r="BD18" s="569">
        <f>BC18/BB18</f>
        <v>0.97802960873330569</v>
      </c>
      <c r="BE18" s="134" t="s">
        <v>405</v>
      </c>
      <c r="BF18" s="596"/>
      <c r="BG18" s="218" t="s">
        <v>469</v>
      </c>
      <c r="BH18" s="263" t="s">
        <v>477</v>
      </c>
      <c r="BI18" s="264" t="s">
        <v>478</v>
      </c>
      <c r="BJ18" s="265"/>
      <c r="BK18" s="263"/>
      <c r="BL18" s="263"/>
      <c r="BM18" s="263"/>
      <c r="BN18" s="263"/>
      <c r="BO18" s="263"/>
      <c r="BP18" s="263"/>
      <c r="BQ18" s="263"/>
    </row>
    <row r="19" spans="1:69" s="19" customFormat="1" ht="64" customHeight="1" x14ac:dyDescent="0.35">
      <c r="A19" s="326"/>
      <c r="B19" s="326"/>
      <c r="C19" s="531"/>
      <c r="D19" s="531"/>
      <c r="E19" s="531"/>
      <c r="F19" s="588"/>
      <c r="G19" s="531"/>
      <c r="H19" s="532"/>
      <c r="I19" s="532"/>
      <c r="J19" s="532"/>
      <c r="K19" s="532"/>
      <c r="L19" s="532"/>
      <c r="M19" s="123">
        <v>1</v>
      </c>
      <c r="N19" s="388"/>
      <c r="O19" s="387"/>
      <c r="P19" s="388"/>
      <c r="Q19" s="180">
        <v>1</v>
      </c>
      <c r="R19" s="309"/>
      <c r="S19" s="387"/>
      <c r="T19" s="387"/>
      <c r="U19" s="245">
        <v>1</v>
      </c>
      <c r="V19" s="309"/>
      <c r="W19" s="387"/>
      <c r="X19" s="387"/>
      <c r="Y19" s="277">
        <v>1</v>
      </c>
      <c r="Z19" s="309"/>
      <c r="AA19" s="309"/>
      <c r="AB19" s="309"/>
      <c r="AC19" s="531"/>
      <c r="AD19" s="534"/>
      <c r="AE19" s="531"/>
      <c r="AF19" s="18" t="s">
        <v>76</v>
      </c>
      <c r="AG19" s="17">
        <v>1</v>
      </c>
      <c r="AH19" s="116" t="s">
        <v>277</v>
      </c>
      <c r="AI19" s="159">
        <v>1</v>
      </c>
      <c r="AJ19" s="198">
        <v>1</v>
      </c>
      <c r="AK19" s="243" t="s">
        <v>359</v>
      </c>
      <c r="AL19" s="243">
        <v>1</v>
      </c>
      <c r="AM19" s="243">
        <v>1</v>
      </c>
      <c r="AN19" s="18" t="s">
        <v>402</v>
      </c>
      <c r="AO19" s="123">
        <v>1</v>
      </c>
      <c r="AP19" s="123">
        <v>1</v>
      </c>
      <c r="AQ19" s="270" t="s">
        <v>505</v>
      </c>
      <c r="AR19" s="257">
        <v>1</v>
      </c>
      <c r="AS19" s="257">
        <v>1</v>
      </c>
      <c r="AT19" s="17">
        <v>1</v>
      </c>
      <c r="AU19" s="176"/>
      <c r="AV19" s="531"/>
      <c r="AW19" s="507"/>
      <c r="AX19" s="600"/>
      <c r="AY19" s="602"/>
      <c r="AZ19" s="513"/>
      <c r="BA19" s="620"/>
      <c r="BB19" s="613"/>
      <c r="BC19" s="557"/>
      <c r="BD19" s="570"/>
      <c r="BE19" s="134" t="s">
        <v>403</v>
      </c>
      <c r="BF19" s="596"/>
      <c r="BG19" s="21"/>
      <c r="BH19" s="266"/>
      <c r="BI19" s="267"/>
      <c r="BJ19" s="265"/>
      <c r="BK19" s="265"/>
      <c r="BL19" s="265"/>
      <c r="BM19" s="263"/>
      <c r="BN19" s="263"/>
      <c r="BO19" s="263"/>
      <c r="BP19" s="263"/>
      <c r="BQ19" s="263"/>
    </row>
    <row r="20" spans="1:69" s="19" customFormat="1" ht="27" customHeight="1" x14ac:dyDescent="0.35">
      <c r="A20" s="326"/>
      <c r="B20" s="326"/>
      <c r="C20" s="531"/>
      <c r="D20" s="531"/>
      <c r="E20" s="531"/>
      <c r="F20" s="588"/>
      <c r="G20" s="531"/>
      <c r="H20" s="530" t="s">
        <v>77</v>
      </c>
      <c r="I20" s="530" t="s">
        <v>78</v>
      </c>
      <c r="J20" s="530" t="s">
        <v>79</v>
      </c>
      <c r="K20" s="530" t="s">
        <v>80</v>
      </c>
      <c r="L20" s="530">
        <v>4</v>
      </c>
      <c r="M20" s="562">
        <v>0</v>
      </c>
      <c r="N20" s="386">
        <v>0</v>
      </c>
      <c r="O20" s="387"/>
      <c r="P20" s="386">
        <f>M20/6</f>
        <v>0</v>
      </c>
      <c r="Q20" s="380">
        <v>0</v>
      </c>
      <c r="R20" s="387">
        <v>0</v>
      </c>
      <c r="S20" s="387"/>
      <c r="T20" s="309">
        <f>(M20+Q20)/6</f>
        <v>0</v>
      </c>
      <c r="U20" s="380">
        <v>0</v>
      </c>
      <c r="V20" s="387">
        <v>0</v>
      </c>
      <c r="W20" s="387"/>
      <c r="X20" s="309">
        <f>(M20+Q20+U20)/6</f>
        <v>0</v>
      </c>
      <c r="Y20" s="310">
        <v>0</v>
      </c>
      <c r="Z20" s="309">
        <v>0</v>
      </c>
      <c r="AA20" s="309"/>
      <c r="AB20" s="309">
        <v>0</v>
      </c>
      <c r="AC20" s="531"/>
      <c r="AD20" s="534"/>
      <c r="AE20" s="531"/>
      <c r="AF20" s="530" t="s">
        <v>81</v>
      </c>
      <c r="AG20" s="536">
        <v>4</v>
      </c>
      <c r="AH20" s="99"/>
      <c r="AI20" s="160"/>
      <c r="AJ20" s="349"/>
      <c r="AK20" s="352"/>
      <c r="AL20" s="352">
        <v>0</v>
      </c>
      <c r="AM20" s="352"/>
      <c r="AN20" s="352"/>
      <c r="AO20" s="352"/>
      <c r="AP20" s="352"/>
      <c r="AQ20" s="271"/>
      <c r="AR20" s="258"/>
      <c r="AS20" s="258"/>
      <c r="AT20" s="536">
        <v>6</v>
      </c>
      <c r="AU20" s="404"/>
      <c r="AV20" s="531"/>
      <c r="AW20" s="505" t="s">
        <v>48</v>
      </c>
      <c r="AX20" s="508">
        <v>80000000</v>
      </c>
      <c r="AY20" s="602"/>
      <c r="AZ20" s="511" t="s">
        <v>82</v>
      </c>
      <c r="BA20" s="620"/>
      <c r="BB20" s="613"/>
      <c r="BC20" s="557"/>
      <c r="BD20" s="570"/>
      <c r="BE20" s="550"/>
      <c r="BF20" s="596" t="s">
        <v>360</v>
      </c>
      <c r="BG20" s="20" t="s">
        <v>470</v>
      </c>
      <c r="BH20" s="263"/>
      <c r="BI20" s="264"/>
      <c r="BJ20" s="263"/>
      <c r="BK20" s="263"/>
      <c r="BL20" s="263"/>
      <c r="BM20" s="263"/>
      <c r="BN20" s="263"/>
      <c r="BO20" s="263"/>
      <c r="BP20" s="263"/>
      <c r="BQ20" s="263"/>
    </row>
    <row r="21" spans="1:69" s="19" customFormat="1" ht="37" customHeight="1" x14ac:dyDescent="0.35">
      <c r="A21" s="326"/>
      <c r="B21" s="326"/>
      <c r="C21" s="531"/>
      <c r="D21" s="531"/>
      <c r="E21" s="531"/>
      <c r="F21" s="588"/>
      <c r="G21" s="531"/>
      <c r="H21" s="531"/>
      <c r="I21" s="531"/>
      <c r="J21" s="531"/>
      <c r="K21" s="531"/>
      <c r="L21" s="531"/>
      <c r="M21" s="563"/>
      <c r="N21" s="387"/>
      <c r="O21" s="387"/>
      <c r="P21" s="387"/>
      <c r="Q21" s="380"/>
      <c r="R21" s="387"/>
      <c r="S21" s="387"/>
      <c r="T21" s="309"/>
      <c r="U21" s="380"/>
      <c r="V21" s="387"/>
      <c r="W21" s="387"/>
      <c r="X21" s="309"/>
      <c r="Y21" s="311"/>
      <c r="Z21" s="309"/>
      <c r="AA21" s="309"/>
      <c r="AB21" s="309"/>
      <c r="AC21" s="531"/>
      <c r="AD21" s="534"/>
      <c r="AE21" s="531"/>
      <c r="AF21" s="531"/>
      <c r="AG21" s="537"/>
      <c r="AH21" s="100"/>
      <c r="AI21" s="161"/>
      <c r="AJ21" s="350"/>
      <c r="AK21" s="352"/>
      <c r="AL21" s="352"/>
      <c r="AM21" s="352"/>
      <c r="AN21" s="352"/>
      <c r="AO21" s="352"/>
      <c r="AP21" s="352"/>
      <c r="AQ21" s="272"/>
      <c r="AR21" s="259"/>
      <c r="AS21" s="259"/>
      <c r="AT21" s="537"/>
      <c r="AU21" s="405"/>
      <c r="AV21" s="531"/>
      <c r="AW21" s="506"/>
      <c r="AX21" s="509"/>
      <c r="AY21" s="602"/>
      <c r="AZ21" s="512"/>
      <c r="BA21" s="620"/>
      <c r="BB21" s="613"/>
      <c r="BC21" s="557"/>
      <c r="BD21" s="570"/>
      <c r="BE21" s="551"/>
      <c r="BF21" s="596"/>
      <c r="BG21" s="20"/>
      <c r="BH21" s="263"/>
      <c r="BI21" s="264"/>
      <c r="BJ21" s="263"/>
      <c r="BK21" s="263"/>
      <c r="BL21" s="263"/>
      <c r="BM21" s="263"/>
      <c r="BN21" s="263"/>
      <c r="BO21" s="263"/>
      <c r="BP21" s="263"/>
      <c r="BQ21" s="263"/>
    </row>
    <row r="22" spans="1:69" s="19" customFormat="1" ht="14.15" customHeight="1" x14ac:dyDescent="0.35">
      <c r="A22" s="326"/>
      <c r="B22" s="326"/>
      <c r="C22" s="531"/>
      <c r="D22" s="531"/>
      <c r="E22" s="531"/>
      <c r="F22" s="588"/>
      <c r="G22" s="531"/>
      <c r="H22" s="531"/>
      <c r="I22" s="531"/>
      <c r="J22" s="531"/>
      <c r="K22" s="531"/>
      <c r="L22" s="531"/>
      <c r="M22" s="563"/>
      <c r="N22" s="387"/>
      <c r="O22" s="387"/>
      <c r="P22" s="387"/>
      <c r="Q22" s="380"/>
      <c r="R22" s="387"/>
      <c r="S22" s="387"/>
      <c r="T22" s="309"/>
      <c r="U22" s="380"/>
      <c r="V22" s="387"/>
      <c r="W22" s="387"/>
      <c r="X22" s="309"/>
      <c r="Y22" s="311"/>
      <c r="Z22" s="309"/>
      <c r="AA22" s="309"/>
      <c r="AB22" s="309"/>
      <c r="AC22" s="531"/>
      <c r="AD22" s="534"/>
      <c r="AE22" s="531"/>
      <c r="AF22" s="531"/>
      <c r="AG22" s="537"/>
      <c r="AH22" s="100"/>
      <c r="AI22" s="161"/>
      <c r="AJ22" s="350"/>
      <c r="AK22" s="352"/>
      <c r="AL22" s="352"/>
      <c r="AM22" s="352"/>
      <c r="AN22" s="352"/>
      <c r="AO22" s="352"/>
      <c r="AP22" s="352"/>
      <c r="AQ22" s="272"/>
      <c r="AR22" s="259"/>
      <c r="AS22" s="259"/>
      <c r="AT22" s="537"/>
      <c r="AU22" s="405"/>
      <c r="AV22" s="531"/>
      <c r="AW22" s="506"/>
      <c r="AX22" s="509"/>
      <c r="AY22" s="602"/>
      <c r="AZ22" s="512"/>
      <c r="BA22" s="620"/>
      <c r="BB22" s="613"/>
      <c r="BC22" s="557"/>
      <c r="BD22" s="570"/>
      <c r="BE22" s="551"/>
      <c r="BF22" s="596"/>
      <c r="BG22" s="20"/>
      <c r="BH22" s="263"/>
      <c r="BI22" s="264"/>
      <c r="BJ22" s="263"/>
      <c r="BK22" s="263"/>
      <c r="BL22" s="263"/>
      <c r="BM22" s="263"/>
      <c r="BN22" s="263"/>
      <c r="BO22" s="263"/>
      <c r="BP22" s="263"/>
      <c r="BQ22" s="263"/>
    </row>
    <row r="23" spans="1:69" s="19" customFormat="1" ht="14.15" customHeight="1" x14ac:dyDescent="0.35">
      <c r="A23" s="326"/>
      <c r="B23" s="326"/>
      <c r="C23" s="532"/>
      <c r="D23" s="532"/>
      <c r="E23" s="532"/>
      <c r="F23" s="589"/>
      <c r="G23" s="532"/>
      <c r="H23" s="532"/>
      <c r="I23" s="532"/>
      <c r="J23" s="532"/>
      <c r="K23" s="532"/>
      <c r="L23" s="532"/>
      <c r="M23" s="564"/>
      <c r="N23" s="388"/>
      <c r="O23" s="388"/>
      <c r="P23" s="388"/>
      <c r="Q23" s="380"/>
      <c r="R23" s="388"/>
      <c r="S23" s="388"/>
      <c r="T23" s="309"/>
      <c r="U23" s="380"/>
      <c r="V23" s="388"/>
      <c r="W23" s="388"/>
      <c r="X23" s="309"/>
      <c r="Y23" s="312"/>
      <c r="Z23" s="309"/>
      <c r="AA23" s="309"/>
      <c r="AB23" s="309"/>
      <c r="AC23" s="532"/>
      <c r="AD23" s="535"/>
      <c r="AE23" s="532"/>
      <c r="AF23" s="532"/>
      <c r="AG23" s="538"/>
      <c r="AH23" s="100"/>
      <c r="AI23" s="161"/>
      <c r="AJ23" s="351"/>
      <c r="AK23" s="352"/>
      <c r="AL23" s="352"/>
      <c r="AM23" s="352"/>
      <c r="AN23" s="352"/>
      <c r="AO23" s="352"/>
      <c r="AP23" s="352"/>
      <c r="AQ23" s="273"/>
      <c r="AR23" s="260"/>
      <c r="AS23" s="260"/>
      <c r="AT23" s="538"/>
      <c r="AU23" s="406"/>
      <c r="AV23" s="532"/>
      <c r="AW23" s="507"/>
      <c r="AX23" s="510"/>
      <c r="AY23" s="603"/>
      <c r="AZ23" s="513"/>
      <c r="BA23" s="621"/>
      <c r="BB23" s="613"/>
      <c r="BC23" s="558"/>
      <c r="BD23" s="571"/>
      <c r="BE23" s="552"/>
      <c r="BF23" s="596"/>
      <c r="BG23" s="20"/>
      <c r="BH23" s="263"/>
      <c r="BI23" s="264"/>
      <c r="BJ23" s="263"/>
      <c r="BK23" s="263"/>
      <c r="BL23" s="263"/>
      <c r="BM23" s="263"/>
      <c r="BN23" s="263"/>
      <c r="BO23" s="263"/>
      <c r="BP23" s="263"/>
      <c r="BQ23" s="263"/>
    </row>
    <row r="24" spans="1:69" s="219" customFormat="1" ht="75" customHeight="1" x14ac:dyDescent="0.35">
      <c r="A24" s="326"/>
      <c r="B24" s="326"/>
      <c r="C24" s="319" t="s">
        <v>83</v>
      </c>
      <c r="D24" s="319" t="s">
        <v>84</v>
      </c>
      <c r="E24" s="319" t="s">
        <v>85</v>
      </c>
      <c r="F24" s="337">
        <f>(M24+Q24)/120</f>
        <v>0.35833333333333334</v>
      </c>
      <c r="G24" s="319" t="s">
        <v>86</v>
      </c>
      <c r="H24" s="319" t="s">
        <v>87</v>
      </c>
      <c r="I24" s="319" t="s">
        <v>88</v>
      </c>
      <c r="J24" s="319" t="s">
        <v>89</v>
      </c>
      <c r="K24" s="319" t="s">
        <v>90</v>
      </c>
      <c r="L24" s="319">
        <v>30</v>
      </c>
      <c r="M24" s="523">
        <v>11</v>
      </c>
      <c r="N24" s="291">
        <f>M24/L24</f>
        <v>0.36666666666666664</v>
      </c>
      <c r="O24" s="291">
        <f>(N24+N28+N30+N35)/4</f>
        <v>0.27752916666666666</v>
      </c>
      <c r="P24" s="291">
        <f>M24/240</f>
        <v>4.583333333333333E-2</v>
      </c>
      <c r="Q24" s="381">
        <v>32</v>
      </c>
      <c r="R24" s="301">
        <v>1</v>
      </c>
      <c r="S24" s="291">
        <f>(R24+R28+R30+R35)/4</f>
        <v>0.875</v>
      </c>
      <c r="T24" s="301">
        <f>(Q24+M24)/240</f>
        <v>0.17916666666666667</v>
      </c>
      <c r="U24" s="529">
        <f>AP26+AP24</f>
        <v>88</v>
      </c>
      <c r="V24" s="301">
        <v>1</v>
      </c>
      <c r="W24" s="291">
        <f>(V24+V28+V30+V35)/4</f>
        <v>0.9</v>
      </c>
      <c r="X24" s="301">
        <v>1</v>
      </c>
      <c r="Y24" s="300">
        <f>AS26+AS27</f>
        <v>98</v>
      </c>
      <c r="Z24" s="301">
        <v>1</v>
      </c>
      <c r="AA24" s="301">
        <f>(Z24+Z28+Z30+Z35)/4</f>
        <v>1</v>
      </c>
      <c r="AB24" s="291">
        <v>1</v>
      </c>
      <c r="AC24" s="319" t="s">
        <v>437</v>
      </c>
      <c r="AD24" s="514">
        <v>2020130010043</v>
      </c>
      <c r="AE24" s="517" t="s">
        <v>91</v>
      </c>
      <c r="AF24" s="22" t="s">
        <v>92</v>
      </c>
      <c r="AG24" s="22">
        <v>2</v>
      </c>
      <c r="AH24" s="269" t="s">
        <v>278</v>
      </c>
      <c r="AI24" s="162">
        <v>1</v>
      </c>
      <c r="AJ24" s="199">
        <v>11</v>
      </c>
      <c r="AK24" s="197" t="s">
        <v>357</v>
      </c>
      <c r="AL24" s="197">
        <v>2</v>
      </c>
      <c r="AM24" s="197">
        <v>19</v>
      </c>
      <c r="AN24" s="197"/>
      <c r="AO24" s="197"/>
      <c r="AP24" s="197"/>
      <c r="AQ24" s="197"/>
      <c r="AR24" s="197"/>
      <c r="AS24" s="197"/>
      <c r="AT24" s="22">
        <v>4</v>
      </c>
      <c r="AU24" s="22"/>
      <c r="AV24" s="322" t="s">
        <v>34</v>
      </c>
      <c r="AW24" s="23" t="s">
        <v>35</v>
      </c>
      <c r="AX24" s="24">
        <v>110000000</v>
      </c>
      <c r="AY24" s="520" t="s">
        <v>93</v>
      </c>
      <c r="AZ24" s="25" t="s">
        <v>94</v>
      </c>
      <c r="BA24" s="619">
        <f>SUM(AX24:AX36)</f>
        <v>1142759664</v>
      </c>
      <c r="BB24" s="614">
        <v>3125986354.52</v>
      </c>
      <c r="BC24" s="575">
        <v>2811585715.1500001</v>
      </c>
      <c r="BD24" s="569">
        <f>BC24/BB24</f>
        <v>0.89942354069607688</v>
      </c>
      <c r="BE24" s="135"/>
      <c r="BF24" s="597"/>
      <c r="BG24" s="218" t="s">
        <v>440</v>
      </c>
      <c r="BH24" s="263"/>
      <c r="BI24" s="264"/>
      <c r="BJ24" s="263"/>
      <c r="BK24" s="263"/>
      <c r="BL24" s="265"/>
      <c r="BM24" s="263"/>
      <c r="BN24" s="263"/>
      <c r="BO24" s="263"/>
      <c r="BP24" s="263"/>
      <c r="BQ24" s="263"/>
    </row>
    <row r="25" spans="1:69" s="26" customFormat="1" ht="79" customHeight="1" x14ac:dyDescent="0.35">
      <c r="A25" s="326"/>
      <c r="B25" s="326"/>
      <c r="C25" s="320"/>
      <c r="D25" s="320"/>
      <c r="E25" s="320"/>
      <c r="F25" s="338"/>
      <c r="G25" s="320"/>
      <c r="H25" s="320"/>
      <c r="I25" s="320"/>
      <c r="J25" s="320"/>
      <c r="K25" s="320"/>
      <c r="L25" s="320"/>
      <c r="M25" s="524"/>
      <c r="N25" s="292"/>
      <c r="O25" s="292"/>
      <c r="P25" s="292"/>
      <c r="Q25" s="382"/>
      <c r="R25" s="301"/>
      <c r="S25" s="292"/>
      <c r="T25" s="301"/>
      <c r="U25" s="529"/>
      <c r="V25" s="301"/>
      <c r="W25" s="292"/>
      <c r="X25" s="301"/>
      <c r="Y25" s="300"/>
      <c r="Z25" s="301"/>
      <c r="AA25" s="301"/>
      <c r="AB25" s="292"/>
      <c r="AC25" s="320"/>
      <c r="AD25" s="515"/>
      <c r="AE25" s="518"/>
      <c r="AF25" s="22" t="s">
        <v>95</v>
      </c>
      <c r="AG25" s="22">
        <v>1</v>
      </c>
      <c r="AH25" s="101"/>
      <c r="AI25" s="162"/>
      <c r="AJ25" s="199"/>
      <c r="AK25" s="197"/>
      <c r="AL25" s="197">
        <v>0</v>
      </c>
      <c r="AM25" s="197"/>
      <c r="AN25" s="197"/>
      <c r="AO25" s="197"/>
      <c r="AP25" s="197"/>
      <c r="AQ25" s="197"/>
      <c r="AR25" s="197"/>
      <c r="AS25" s="197"/>
      <c r="AT25" s="22">
        <v>4</v>
      </c>
      <c r="AU25" s="176"/>
      <c r="AV25" s="323"/>
      <c r="AW25" s="23" t="s">
        <v>35</v>
      </c>
      <c r="AX25" s="24">
        <v>100000000</v>
      </c>
      <c r="AY25" s="521"/>
      <c r="AZ25" s="25" t="s">
        <v>94</v>
      </c>
      <c r="BA25" s="620"/>
      <c r="BB25" s="613"/>
      <c r="BC25" s="576"/>
      <c r="BD25" s="570"/>
      <c r="BE25" s="135"/>
      <c r="BF25" s="597"/>
      <c r="BG25" s="28"/>
      <c r="BH25" s="266"/>
      <c r="BI25" s="267"/>
      <c r="BJ25" s="263"/>
      <c r="BK25" s="263"/>
      <c r="BL25" s="263"/>
      <c r="BM25" s="263"/>
      <c r="BN25" s="263"/>
      <c r="BO25" s="263"/>
      <c r="BP25" s="263"/>
      <c r="BQ25" s="263"/>
    </row>
    <row r="26" spans="1:69" s="219" customFormat="1" ht="71.150000000000006" customHeight="1" x14ac:dyDescent="0.35">
      <c r="A26" s="326"/>
      <c r="B26" s="326"/>
      <c r="C26" s="320"/>
      <c r="D26" s="320"/>
      <c r="E26" s="320"/>
      <c r="F26" s="338"/>
      <c r="G26" s="320"/>
      <c r="H26" s="320"/>
      <c r="I26" s="320"/>
      <c r="J26" s="320"/>
      <c r="K26" s="320"/>
      <c r="L26" s="320"/>
      <c r="M26" s="524"/>
      <c r="N26" s="292"/>
      <c r="O26" s="292"/>
      <c r="P26" s="292"/>
      <c r="Q26" s="382"/>
      <c r="R26" s="301"/>
      <c r="S26" s="292"/>
      <c r="T26" s="301"/>
      <c r="U26" s="529"/>
      <c r="V26" s="301"/>
      <c r="W26" s="292"/>
      <c r="X26" s="301"/>
      <c r="Y26" s="300"/>
      <c r="Z26" s="301"/>
      <c r="AA26" s="301"/>
      <c r="AB26" s="292"/>
      <c r="AC26" s="320"/>
      <c r="AD26" s="515"/>
      <c r="AE26" s="518"/>
      <c r="AF26" s="22" t="s">
        <v>96</v>
      </c>
      <c r="AG26" s="22">
        <v>2</v>
      </c>
      <c r="AH26" s="101"/>
      <c r="AI26" s="162"/>
      <c r="AJ26" s="199"/>
      <c r="AK26" s="197" t="s">
        <v>354</v>
      </c>
      <c r="AL26" s="197">
        <v>1</v>
      </c>
      <c r="AM26" s="197">
        <v>11</v>
      </c>
      <c r="AN26" s="197" t="s">
        <v>409</v>
      </c>
      <c r="AO26" s="197">
        <v>1</v>
      </c>
      <c r="AP26" s="197">
        <v>88</v>
      </c>
      <c r="AQ26" s="197" t="s">
        <v>495</v>
      </c>
      <c r="AR26" s="197">
        <v>1</v>
      </c>
      <c r="AS26" s="197">
        <v>48</v>
      </c>
      <c r="AT26" s="22">
        <v>4</v>
      </c>
      <c r="AU26" s="22"/>
      <c r="AV26" s="323"/>
      <c r="AW26" s="23" t="s">
        <v>48</v>
      </c>
      <c r="AX26" s="24">
        <v>300000000</v>
      </c>
      <c r="AY26" s="521"/>
      <c r="AZ26" s="25" t="s">
        <v>97</v>
      </c>
      <c r="BA26" s="620"/>
      <c r="BB26" s="613"/>
      <c r="BC26" s="576"/>
      <c r="BD26" s="570"/>
      <c r="BE26" s="136" t="s">
        <v>355</v>
      </c>
      <c r="BF26" s="597"/>
      <c r="BG26" s="218"/>
      <c r="BH26" s="263"/>
      <c r="BI26" s="264"/>
      <c r="BJ26" s="263"/>
      <c r="BK26" s="263"/>
      <c r="BL26" s="263"/>
      <c r="BM26" s="263"/>
      <c r="BN26" s="263"/>
      <c r="BO26" s="263"/>
      <c r="BP26" s="263"/>
    </row>
    <row r="27" spans="1:69" s="26" customFormat="1" ht="70" customHeight="1" x14ac:dyDescent="0.35">
      <c r="A27" s="326"/>
      <c r="B27" s="326"/>
      <c r="C27" s="320"/>
      <c r="D27" s="320"/>
      <c r="E27" s="320"/>
      <c r="F27" s="338"/>
      <c r="G27" s="320"/>
      <c r="H27" s="320"/>
      <c r="I27" s="321"/>
      <c r="J27" s="321"/>
      <c r="K27" s="321"/>
      <c r="L27" s="321"/>
      <c r="M27" s="525"/>
      <c r="N27" s="293"/>
      <c r="O27" s="292"/>
      <c r="P27" s="293"/>
      <c r="Q27" s="383"/>
      <c r="R27" s="301"/>
      <c r="S27" s="292"/>
      <c r="T27" s="301"/>
      <c r="U27" s="529"/>
      <c r="V27" s="301"/>
      <c r="W27" s="292"/>
      <c r="X27" s="301"/>
      <c r="Y27" s="300"/>
      <c r="Z27" s="301"/>
      <c r="AA27" s="301"/>
      <c r="AB27" s="293"/>
      <c r="AC27" s="320"/>
      <c r="AD27" s="515"/>
      <c r="AE27" s="518"/>
      <c r="AF27" s="22" t="s">
        <v>98</v>
      </c>
      <c r="AG27" s="22">
        <v>2</v>
      </c>
      <c r="AH27" s="101"/>
      <c r="AI27" s="162"/>
      <c r="AJ27" s="199"/>
      <c r="AK27" s="197"/>
      <c r="AL27" s="197">
        <v>0</v>
      </c>
      <c r="AM27" s="197"/>
      <c r="AN27" s="197"/>
      <c r="AO27" s="197"/>
      <c r="AP27" s="197"/>
      <c r="AQ27" s="261" t="s">
        <v>493</v>
      </c>
      <c r="AR27" s="197">
        <v>2</v>
      </c>
      <c r="AS27" s="197">
        <v>50</v>
      </c>
      <c r="AT27" s="22">
        <v>4</v>
      </c>
      <c r="AU27" s="176"/>
      <c r="AV27" s="323"/>
      <c r="AW27" s="23" t="s">
        <v>35</v>
      </c>
      <c r="AX27" s="24">
        <v>40159664</v>
      </c>
      <c r="AY27" s="521"/>
      <c r="AZ27" s="25" t="s">
        <v>94</v>
      </c>
      <c r="BA27" s="620"/>
      <c r="BB27" s="613"/>
      <c r="BC27" s="576"/>
      <c r="BD27" s="570"/>
      <c r="BE27" s="136" t="s">
        <v>483</v>
      </c>
      <c r="BF27" s="597"/>
      <c r="BG27" s="27"/>
      <c r="BH27" s="263"/>
      <c r="BI27" s="264"/>
      <c r="BJ27" s="263"/>
      <c r="BK27" s="263"/>
      <c r="BL27" s="263"/>
      <c r="BM27" s="263"/>
      <c r="BN27" s="263"/>
      <c r="BO27" s="263"/>
      <c r="BP27" s="263"/>
    </row>
    <row r="28" spans="1:69" s="26" customFormat="1" ht="93" customHeight="1" x14ac:dyDescent="0.35">
      <c r="A28" s="326"/>
      <c r="B28" s="326"/>
      <c r="C28" s="320"/>
      <c r="D28" s="320"/>
      <c r="E28" s="320"/>
      <c r="F28" s="338"/>
      <c r="G28" s="320"/>
      <c r="H28" s="320"/>
      <c r="I28" s="319" t="s">
        <v>99</v>
      </c>
      <c r="J28" s="319" t="s">
        <v>100</v>
      </c>
      <c r="K28" s="319" t="s">
        <v>101</v>
      </c>
      <c r="L28" s="319">
        <v>30</v>
      </c>
      <c r="M28" s="523">
        <v>0</v>
      </c>
      <c r="N28" s="291">
        <f>M28/L28</f>
        <v>0</v>
      </c>
      <c r="O28" s="292"/>
      <c r="P28" s="291">
        <f>M28/240</f>
        <v>0</v>
      </c>
      <c r="Q28" s="382">
        <v>27</v>
      </c>
      <c r="R28" s="292">
        <f>(Q28+M28)/L28</f>
        <v>0.9</v>
      </c>
      <c r="S28" s="292"/>
      <c r="T28" s="291">
        <f>(Q28+M28)/240</f>
        <v>0.1125</v>
      </c>
      <c r="U28" s="382">
        <f>AP28</f>
        <v>227</v>
      </c>
      <c r="V28" s="292">
        <v>1</v>
      </c>
      <c r="W28" s="292"/>
      <c r="X28" s="291">
        <f>(M28+Q28+U28)/240</f>
        <v>1.0583333333333333</v>
      </c>
      <c r="Y28" s="300">
        <f>AS29</f>
        <v>25</v>
      </c>
      <c r="Z28" s="292">
        <v>1</v>
      </c>
      <c r="AA28" s="301"/>
      <c r="AB28" s="291">
        <v>1</v>
      </c>
      <c r="AC28" s="320"/>
      <c r="AD28" s="515"/>
      <c r="AE28" s="518"/>
      <c r="AF28" s="22" t="s">
        <v>102</v>
      </c>
      <c r="AG28" s="22">
        <v>2</v>
      </c>
      <c r="AH28" s="101"/>
      <c r="AI28" s="162"/>
      <c r="AJ28" s="199"/>
      <c r="AK28" s="197" t="s">
        <v>356</v>
      </c>
      <c r="AL28" s="197">
        <v>2</v>
      </c>
      <c r="AM28" s="197">
        <v>27</v>
      </c>
      <c r="AN28" s="197" t="s">
        <v>406</v>
      </c>
      <c r="AO28" s="197">
        <v>1</v>
      </c>
      <c r="AP28" s="197">
        <v>227</v>
      </c>
      <c r="AQ28" s="197"/>
      <c r="AR28" s="197"/>
      <c r="AS28" s="197"/>
      <c r="AT28" s="22">
        <v>8</v>
      </c>
      <c r="AU28" s="176"/>
      <c r="AV28" s="323"/>
      <c r="AW28" s="23" t="s">
        <v>59</v>
      </c>
      <c r="AX28" s="24">
        <f>59000000+69600000</f>
        <v>128600000</v>
      </c>
      <c r="AY28" s="521"/>
      <c r="AZ28" s="25" t="s">
        <v>103</v>
      </c>
      <c r="BA28" s="620"/>
      <c r="BB28" s="613"/>
      <c r="BC28" s="576"/>
      <c r="BD28" s="570"/>
      <c r="BE28" s="253" t="s">
        <v>494</v>
      </c>
      <c r="BF28" s="597"/>
      <c r="BG28" s="27" t="s">
        <v>439</v>
      </c>
      <c r="BH28" s="263"/>
      <c r="BI28" s="264"/>
      <c r="BJ28" s="263"/>
      <c r="BK28" s="263"/>
      <c r="BL28" s="263"/>
      <c r="BM28" s="263"/>
      <c r="BN28" s="263"/>
      <c r="BO28" s="263"/>
      <c r="BP28" s="263"/>
    </row>
    <row r="29" spans="1:69" s="26" customFormat="1" ht="69" customHeight="1" x14ac:dyDescent="0.35">
      <c r="A29" s="326"/>
      <c r="B29" s="326"/>
      <c r="C29" s="320"/>
      <c r="D29" s="320"/>
      <c r="E29" s="320"/>
      <c r="F29" s="338"/>
      <c r="G29" s="320"/>
      <c r="H29" s="321"/>
      <c r="I29" s="321"/>
      <c r="J29" s="321"/>
      <c r="K29" s="321"/>
      <c r="L29" s="321"/>
      <c r="M29" s="525"/>
      <c r="N29" s="293"/>
      <c r="O29" s="292"/>
      <c r="P29" s="293"/>
      <c r="Q29" s="383"/>
      <c r="R29" s="293"/>
      <c r="S29" s="292"/>
      <c r="T29" s="293"/>
      <c r="U29" s="383"/>
      <c r="V29" s="293"/>
      <c r="W29" s="292"/>
      <c r="X29" s="293"/>
      <c r="Y29" s="300"/>
      <c r="Z29" s="293"/>
      <c r="AA29" s="301"/>
      <c r="AB29" s="293"/>
      <c r="AC29" s="321"/>
      <c r="AD29" s="516"/>
      <c r="AE29" s="519"/>
      <c r="AF29" s="22" t="s">
        <v>104</v>
      </c>
      <c r="AG29" s="22">
        <v>1</v>
      </c>
      <c r="AH29" s="101"/>
      <c r="AI29" s="162"/>
      <c r="AJ29" s="199"/>
      <c r="AK29" s="197"/>
      <c r="AL29" s="197">
        <v>0</v>
      </c>
      <c r="AM29" s="197"/>
      <c r="AN29" s="197"/>
      <c r="AO29" s="197"/>
      <c r="AP29" s="197"/>
      <c r="AQ29" s="261" t="s">
        <v>493</v>
      </c>
      <c r="AR29" s="261">
        <v>1</v>
      </c>
      <c r="AS29" s="261">
        <v>25</v>
      </c>
      <c r="AT29" s="178">
        <v>4</v>
      </c>
      <c r="AU29" s="176"/>
      <c r="AV29" s="323"/>
      <c r="AW29" s="23" t="s">
        <v>105</v>
      </c>
      <c r="AX29" s="24">
        <v>18000000</v>
      </c>
      <c r="AY29" s="522"/>
      <c r="AZ29" s="25" t="s">
        <v>106</v>
      </c>
      <c r="BA29" s="620"/>
      <c r="BB29" s="613"/>
      <c r="BC29" s="576"/>
      <c r="BD29" s="570"/>
      <c r="BE29" s="135" t="s">
        <v>483</v>
      </c>
      <c r="BF29" s="597"/>
      <c r="BG29" s="27"/>
      <c r="BH29" s="263"/>
      <c r="BI29" s="264"/>
      <c r="BJ29" s="263"/>
      <c r="BK29" s="263"/>
      <c r="BL29" s="263"/>
      <c r="BM29" s="263"/>
      <c r="BN29" s="263"/>
      <c r="BO29" s="263"/>
      <c r="BP29" s="263"/>
    </row>
    <row r="30" spans="1:69" s="33" customFormat="1" ht="95.15" customHeight="1" x14ac:dyDescent="0.35">
      <c r="A30" s="326"/>
      <c r="B30" s="326"/>
      <c r="C30" s="320"/>
      <c r="D30" s="320"/>
      <c r="E30" s="320"/>
      <c r="F30" s="338"/>
      <c r="G30" s="320"/>
      <c r="H30" s="322" t="s">
        <v>107</v>
      </c>
      <c r="I30" s="322" t="s">
        <v>108</v>
      </c>
      <c r="J30" s="322" t="s">
        <v>109</v>
      </c>
      <c r="K30" s="322" t="s">
        <v>110</v>
      </c>
      <c r="L30" s="488">
        <v>20000</v>
      </c>
      <c r="M30" s="526">
        <v>6869</v>
      </c>
      <c r="N30" s="389">
        <f>M30/L30</f>
        <v>0.34344999999999998</v>
      </c>
      <c r="O30" s="292"/>
      <c r="P30" s="389">
        <f>M30/53286</f>
        <v>0.12890815598843974</v>
      </c>
      <c r="Q30" s="381">
        <v>13505</v>
      </c>
      <c r="R30" s="389">
        <v>1</v>
      </c>
      <c r="S30" s="292"/>
      <c r="T30" s="303">
        <f>(Q30+M30)/53286</f>
        <v>0.38235183725556432</v>
      </c>
      <c r="U30" s="608">
        <v>94</v>
      </c>
      <c r="V30" s="389">
        <v>1</v>
      </c>
      <c r="W30" s="292"/>
      <c r="X30" s="303">
        <f>(M30+Q30+U30)/53289</f>
        <v>0.38409427836889415</v>
      </c>
      <c r="Y30" s="302">
        <f>AS30+AS31+AS32+AS33+AS34</f>
        <v>760</v>
      </c>
      <c r="Z30" s="303">
        <v>1</v>
      </c>
      <c r="AA30" s="301"/>
      <c r="AB30" s="303">
        <f>(Y30+U30+Q30+M30)/53286</f>
        <v>0.39837856097286339</v>
      </c>
      <c r="AC30" s="322" t="s">
        <v>441</v>
      </c>
      <c r="AD30" s="491">
        <v>2020130010045</v>
      </c>
      <c r="AE30" s="322" t="s">
        <v>111</v>
      </c>
      <c r="AF30" s="29" t="s">
        <v>112</v>
      </c>
      <c r="AG30" s="29">
        <v>2</v>
      </c>
      <c r="AH30" s="102"/>
      <c r="AI30" s="163"/>
      <c r="AJ30" s="200"/>
      <c r="AK30" s="196"/>
      <c r="AL30" s="196">
        <v>0</v>
      </c>
      <c r="AM30" s="196"/>
      <c r="AN30" s="196"/>
      <c r="AO30" s="196"/>
      <c r="AP30" s="196"/>
      <c r="AQ30" s="196" t="s">
        <v>484</v>
      </c>
      <c r="AR30" s="196">
        <v>2</v>
      </c>
      <c r="AS30" s="196">
        <v>416</v>
      </c>
      <c r="AT30" s="29">
        <v>8</v>
      </c>
      <c r="AU30" s="176"/>
      <c r="AV30" s="323"/>
      <c r="AW30" s="30" t="s">
        <v>35</v>
      </c>
      <c r="AX30" s="31">
        <v>95000000</v>
      </c>
      <c r="AY30" s="503" t="s">
        <v>113</v>
      </c>
      <c r="AZ30" s="32" t="s">
        <v>94</v>
      </c>
      <c r="BA30" s="620"/>
      <c r="BB30" s="613"/>
      <c r="BC30" s="576"/>
      <c r="BD30" s="570"/>
      <c r="BE30" s="268" t="s">
        <v>487</v>
      </c>
      <c r="BF30" s="598"/>
      <c r="BG30" s="34" t="s">
        <v>442</v>
      </c>
      <c r="BH30" s="263"/>
      <c r="BI30" s="264"/>
      <c r="BJ30" s="263"/>
      <c r="BK30" s="263"/>
      <c r="BL30" s="263"/>
      <c r="BM30" s="263"/>
      <c r="BN30" s="263"/>
      <c r="BO30" s="263"/>
      <c r="BP30" s="263"/>
    </row>
    <row r="31" spans="1:69" s="33" customFormat="1" ht="119.15" customHeight="1" x14ac:dyDescent="0.35">
      <c r="A31" s="326"/>
      <c r="B31" s="326"/>
      <c r="C31" s="320"/>
      <c r="D31" s="320"/>
      <c r="E31" s="320"/>
      <c r="F31" s="338"/>
      <c r="G31" s="320"/>
      <c r="H31" s="323"/>
      <c r="I31" s="323"/>
      <c r="J31" s="323"/>
      <c r="K31" s="323"/>
      <c r="L31" s="489"/>
      <c r="M31" s="527"/>
      <c r="N31" s="390"/>
      <c r="O31" s="292"/>
      <c r="P31" s="390"/>
      <c r="Q31" s="382"/>
      <c r="R31" s="390"/>
      <c r="S31" s="292"/>
      <c r="T31" s="303"/>
      <c r="U31" s="384"/>
      <c r="V31" s="390"/>
      <c r="W31" s="292"/>
      <c r="X31" s="303"/>
      <c r="Y31" s="302"/>
      <c r="Z31" s="303"/>
      <c r="AA31" s="301"/>
      <c r="AB31" s="303"/>
      <c r="AC31" s="323"/>
      <c r="AD31" s="492"/>
      <c r="AE31" s="323"/>
      <c r="AF31" s="29" t="s">
        <v>114</v>
      </c>
      <c r="AG31" s="29">
        <v>2</v>
      </c>
      <c r="AH31" s="102" t="s">
        <v>279</v>
      </c>
      <c r="AI31" s="163">
        <v>3</v>
      </c>
      <c r="AJ31" s="200">
        <f>4382+2487</f>
        <v>6869</v>
      </c>
      <c r="AK31" s="196" t="s">
        <v>347</v>
      </c>
      <c r="AL31" s="196">
        <v>2</v>
      </c>
      <c r="AM31" s="196">
        <f>5345+7932</f>
        <v>13277</v>
      </c>
      <c r="AN31" s="196"/>
      <c r="AO31" s="196"/>
      <c r="AP31" s="196"/>
      <c r="AQ31" s="196" t="s">
        <v>485</v>
      </c>
      <c r="AR31" s="196">
        <v>2</v>
      </c>
      <c r="AS31" s="196">
        <v>163</v>
      </c>
      <c r="AT31" s="29">
        <v>4</v>
      </c>
      <c r="AU31" s="176"/>
      <c r="AV31" s="323"/>
      <c r="AW31" s="30" t="s">
        <v>115</v>
      </c>
      <c r="AX31" s="31">
        <v>80000000</v>
      </c>
      <c r="AY31" s="625"/>
      <c r="AZ31" s="32" t="s">
        <v>116</v>
      </c>
      <c r="BA31" s="620"/>
      <c r="BB31" s="613"/>
      <c r="BC31" s="576"/>
      <c r="BD31" s="570"/>
      <c r="BE31" s="138" t="s">
        <v>481</v>
      </c>
      <c r="BF31" s="598"/>
      <c r="BG31" s="34"/>
      <c r="BH31" s="263"/>
      <c r="BI31" s="264"/>
      <c r="BJ31" s="263"/>
      <c r="BK31" s="263"/>
      <c r="BL31" s="263"/>
      <c r="BM31" s="263"/>
      <c r="BN31" s="263"/>
      <c r="BO31" s="263"/>
      <c r="BP31" s="263"/>
    </row>
    <row r="32" spans="1:69" s="33" customFormat="1" ht="80.150000000000006" customHeight="1" x14ac:dyDescent="0.35">
      <c r="A32" s="326"/>
      <c r="B32" s="326"/>
      <c r="C32" s="320"/>
      <c r="D32" s="320"/>
      <c r="E32" s="320"/>
      <c r="F32" s="338"/>
      <c r="G32" s="320"/>
      <c r="H32" s="323"/>
      <c r="I32" s="323"/>
      <c r="J32" s="323"/>
      <c r="K32" s="323"/>
      <c r="L32" s="489"/>
      <c r="M32" s="527"/>
      <c r="N32" s="390"/>
      <c r="O32" s="292"/>
      <c r="P32" s="390"/>
      <c r="Q32" s="382"/>
      <c r="R32" s="390"/>
      <c r="S32" s="292"/>
      <c r="T32" s="303"/>
      <c r="U32" s="384"/>
      <c r="V32" s="390"/>
      <c r="W32" s="292"/>
      <c r="X32" s="303"/>
      <c r="Y32" s="302"/>
      <c r="Z32" s="303"/>
      <c r="AA32" s="301"/>
      <c r="AB32" s="303"/>
      <c r="AC32" s="323"/>
      <c r="AD32" s="492"/>
      <c r="AE32" s="323"/>
      <c r="AF32" s="29" t="s">
        <v>117</v>
      </c>
      <c r="AG32" s="29">
        <v>2</v>
      </c>
      <c r="AH32" s="102"/>
      <c r="AI32" s="163"/>
      <c r="AJ32" s="200"/>
      <c r="AK32" s="196" t="s">
        <v>345</v>
      </c>
      <c r="AL32" s="196">
        <v>4</v>
      </c>
      <c r="AM32" s="196">
        <v>128</v>
      </c>
      <c r="AN32" s="196" t="s">
        <v>407</v>
      </c>
      <c r="AO32" s="196">
        <v>1</v>
      </c>
      <c r="AP32" s="196">
        <v>64</v>
      </c>
      <c r="AQ32" s="196" t="s">
        <v>482</v>
      </c>
      <c r="AR32" s="196">
        <v>2</v>
      </c>
      <c r="AS32" s="196">
        <v>36</v>
      </c>
      <c r="AT32" s="29">
        <v>4</v>
      </c>
      <c r="AU32" s="176"/>
      <c r="AV32" s="323"/>
      <c r="AW32" s="30" t="s">
        <v>48</v>
      </c>
      <c r="AX32" s="31">
        <v>45000000</v>
      </c>
      <c r="AY32" s="625"/>
      <c r="AZ32" s="32" t="s">
        <v>118</v>
      </c>
      <c r="BA32" s="620"/>
      <c r="BB32" s="613"/>
      <c r="BC32" s="576"/>
      <c r="BD32" s="570"/>
      <c r="BE32" s="138" t="s">
        <v>486</v>
      </c>
      <c r="BF32" s="598"/>
      <c r="BG32" s="34"/>
      <c r="BH32" s="263"/>
      <c r="BI32" s="264"/>
      <c r="BJ32" s="263"/>
      <c r="BK32" s="263"/>
      <c r="BL32" s="263"/>
      <c r="BM32" s="263"/>
      <c r="BN32" s="263"/>
      <c r="BO32" s="263"/>
      <c r="BP32" s="263"/>
    </row>
    <row r="33" spans="1:68" s="33" customFormat="1" ht="77.150000000000006" customHeight="1" x14ac:dyDescent="0.35">
      <c r="A33" s="326"/>
      <c r="B33" s="326"/>
      <c r="C33" s="320"/>
      <c r="D33" s="320"/>
      <c r="E33" s="320"/>
      <c r="F33" s="338"/>
      <c r="G33" s="320"/>
      <c r="H33" s="323"/>
      <c r="I33" s="323"/>
      <c r="J33" s="323"/>
      <c r="K33" s="323"/>
      <c r="L33" s="489"/>
      <c r="M33" s="527"/>
      <c r="N33" s="390"/>
      <c r="O33" s="292"/>
      <c r="P33" s="390"/>
      <c r="Q33" s="382"/>
      <c r="R33" s="390"/>
      <c r="S33" s="292"/>
      <c r="T33" s="303"/>
      <c r="U33" s="384"/>
      <c r="V33" s="390"/>
      <c r="W33" s="292"/>
      <c r="X33" s="303"/>
      <c r="Y33" s="302"/>
      <c r="Z33" s="303"/>
      <c r="AA33" s="301"/>
      <c r="AB33" s="303"/>
      <c r="AC33" s="323"/>
      <c r="AD33" s="492"/>
      <c r="AE33" s="323"/>
      <c r="AF33" s="29" t="s">
        <v>119</v>
      </c>
      <c r="AG33" s="29">
        <v>2</v>
      </c>
      <c r="AH33" s="102"/>
      <c r="AI33" s="163"/>
      <c r="AJ33" s="200"/>
      <c r="AK33" s="196"/>
      <c r="AL33" s="196">
        <v>0</v>
      </c>
      <c r="AM33" s="196"/>
      <c r="AN33" s="196"/>
      <c r="AO33" s="196"/>
      <c r="AP33" s="196"/>
      <c r="AQ33" s="196" t="s">
        <v>489</v>
      </c>
      <c r="AR33" s="196">
        <v>1</v>
      </c>
      <c r="AS33" s="196">
        <v>100</v>
      </c>
      <c r="AT33" s="29">
        <v>4</v>
      </c>
      <c r="AU33" s="176"/>
      <c r="AV33" s="323"/>
      <c r="AW33" s="30" t="s">
        <v>48</v>
      </c>
      <c r="AX33" s="31">
        <v>40000000</v>
      </c>
      <c r="AY33" s="625"/>
      <c r="AZ33" s="32" t="s">
        <v>118</v>
      </c>
      <c r="BA33" s="620"/>
      <c r="BB33" s="613"/>
      <c r="BC33" s="576"/>
      <c r="BD33" s="570"/>
      <c r="BE33" s="268" t="s">
        <v>490</v>
      </c>
      <c r="BF33" s="598"/>
      <c r="BG33" s="34"/>
      <c r="BH33" s="263"/>
      <c r="BI33" s="264"/>
      <c r="BJ33" s="263"/>
      <c r="BK33" s="263"/>
      <c r="BL33" s="263"/>
      <c r="BM33" s="263"/>
      <c r="BN33" s="263"/>
      <c r="BO33" s="263"/>
      <c r="BP33" s="263"/>
    </row>
    <row r="34" spans="1:68" s="219" customFormat="1" ht="139" customHeight="1" x14ac:dyDescent="0.35">
      <c r="A34" s="326"/>
      <c r="B34" s="326"/>
      <c r="C34" s="320"/>
      <c r="D34" s="320"/>
      <c r="E34" s="320"/>
      <c r="F34" s="338"/>
      <c r="G34" s="320"/>
      <c r="H34" s="324"/>
      <c r="I34" s="324"/>
      <c r="J34" s="324"/>
      <c r="K34" s="324"/>
      <c r="L34" s="490"/>
      <c r="M34" s="528"/>
      <c r="N34" s="391"/>
      <c r="O34" s="292"/>
      <c r="P34" s="391"/>
      <c r="Q34" s="383"/>
      <c r="R34" s="390"/>
      <c r="S34" s="292"/>
      <c r="T34" s="303"/>
      <c r="U34" s="384"/>
      <c r="V34" s="390"/>
      <c r="W34" s="292"/>
      <c r="X34" s="303"/>
      <c r="Y34" s="302"/>
      <c r="Z34" s="303"/>
      <c r="AA34" s="301"/>
      <c r="AB34" s="303"/>
      <c r="AC34" s="323"/>
      <c r="AD34" s="492"/>
      <c r="AE34" s="323"/>
      <c r="AF34" s="29" t="s">
        <v>120</v>
      </c>
      <c r="AG34" s="29">
        <v>1</v>
      </c>
      <c r="AH34" s="102"/>
      <c r="AI34" s="163"/>
      <c r="AJ34" s="200"/>
      <c r="AK34" s="196" t="s">
        <v>344</v>
      </c>
      <c r="AL34" s="196">
        <v>1</v>
      </c>
      <c r="AM34" s="196">
        <v>100</v>
      </c>
      <c r="AN34" s="196" t="s">
        <v>408</v>
      </c>
      <c r="AO34" s="196">
        <v>1</v>
      </c>
      <c r="AP34" s="196">
        <v>30</v>
      </c>
      <c r="AQ34" s="196" t="s">
        <v>488</v>
      </c>
      <c r="AR34" s="196">
        <v>1</v>
      </c>
      <c r="AS34" s="196">
        <v>45</v>
      </c>
      <c r="AT34" s="29">
        <v>1</v>
      </c>
      <c r="AU34" s="176"/>
      <c r="AV34" s="323"/>
      <c r="AW34" s="30" t="s">
        <v>48</v>
      </c>
      <c r="AX34" s="31">
        <v>21400000</v>
      </c>
      <c r="AY34" s="625"/>
      <c r="AZ34" s="32" t="s">
        <v>118</v>
      </c>
      <c r="BA34" s="620"/>
      <c r="BB34" s="613"/>
      <c r="BC34" s="576"/>
      <c r="BD34" s="570"/>
      <c r="BE34" s="137" t="s">
        <v>483</v>
      </c>
      <c r="BF34" s="598"/>
      <c r="BG34" s="218"/>
      <c r="BH34" s="263"/>
      <c r="BI34" s="264"/>
      <c r="BJ34" s="263"/>
      <c r="BK34" s="263"/>
      <c r="BL34" s="263"/>
      <c r="BM34" s="263"/>
      <c r="BN34" s="263"/>
      <c r="BO34" s="263"/>
      <c r="BP34" s="263"/>
    </row>
    <row r="35" spans="1:68" s="33" customFormat="1" ht="160" customHeight="1" x14ac:dyDescent="0.35">
      <c r="A35" s="326"/>
      <c r="B35" s="326"/>
      <c r="C35" s="320"/>
      <c r="D35" s="320"/>
      <c r="E35" s="320"/>
      <c r="F35" s="338"/>
      <c r="G35" s="320"/>
      <c r="H35" s="322" t="s">
        <v>121</v>
      </c>
      <c r="I35" s="322" t="s">
        <v>50</v>
      </c>
      <c r="J35" s="322" t="s">
        <v>122</v>
      </c>
      <c r="K35" s="322" t="s">
        <v>123</v>
      </c>
      <c r="L35" s="503">
        <v>5</v>
      </c>
      <c r="M35" s="526">
        <v>2</v>
      </c>
      <c r="N35" s="389">
        <f>M35/L35</f>
        <v>0.4</v>
      </c>
      <c r="O35" s="292"/>
      <c r="P35" s="389">
        <f>M35/12</f>
        <v>0.16666666666666666</v>
      </c>
      <c r="Q35" s="384">
        <v>1</v>
      </c>
      <c r="R35" s="390">
        <f>(Q35+M35)/L35</f>
        <v>0.6</v>
      </c>
      <c r="S35" s="292"/>
      <c r="T35" s="389">
        <f>(Q35+M35)/12</f>
        <v>0.25</v>
      </c>
      <c r="U35" s="609">
        <v>0</v>
      </c>
      <c r="V35" s="303">
        <f>(M35+Q35+U35)/5</f>
        <v>0.6</v>
      </c>
      <c r="W35" s="292"/>
      <c r="X35" s="389">
        <f>(M35+Q35+U35)/12</f>
        <v>0.25</v>
      </c>
      <c r="Y35" s="302">
        <f>AR35+AR36</f>
        <v>2</v>
      </c>
      <c r="Z35" s="303">
        <v>1</v>
      </c>
      <c r="AA35" s="301"/>
      <c r="AB35" s="303">
        <f>(Y35+U35+Q35+M35)/12</f>
        <v>0.41666666666666669</v>
      </c>
      <c r="AC35" s="323"/>
      <c r="AD35" s="492"/>
      <c r="AE35" s="323"/>
      <c r="AF35" s="29" t="s">
        <v>124</v>
      </c>
      <c r="AG35" s="29">
        <v>3</v>
      </c>
      <c r="AH35" s="102"/>
      <c r="AI35" s="163"/>
      <c r="AJ35" s="200"/>
      <c r="AK35" s="196"/>
      <c r="AL35" s="196">
        <v>0</v>
      </c>
      <c r="AM35" s="196"/>
      <c r="AN35" s="196"/>
      <c r="AO35" s="196"/>
      <c r="AP35" s="196"/>
      <c r="AQ35" s="196" t="s">
        <v>491</v>
      </c>
      <c r="AR35" s="196">
        <v>1</v>
      </c>
      <c r="AS35" s="196">
        <v>60</v>
      </c>
      <c r="AT35" s="29">
        <v>4</v>
      </c>
      <c r="AU35" s="176"/>
      <c r="AV35" s="323"/>
      <c r="AW35" s="30" t="s">
        <v>56</v>
      </c>
      <c r="AX35" s="31">
        <f>55000000+69600000</f>
        <v>124600000</v>
      </c>
      <c r="AY35" s="625"/>
      <c r="AZ35" s="32" t="s">
        <v>125</v>
      </c>
      <c r="BA35" s="620"/>
      <c r="BB35" s="613"/>
      <c r="BC35" s="576"/>
      <c r="BD35" s="570"/>
      <c r="BE35" s="139" t="s">
        <v>492</v>
      </c>
      <c r="BF35" s="598"/>
      <c r="BG35" s="34" t="s">
        <v>443</v>
      </c>
      <c r="BH35" s="263"/>
      <c r="BI35" s="264"/>
      <c r="BJ35" s="263"/>
      <c r="BK35" s="263"/>
      <c r="BL35" s="263"/>
      <c r="BM35" s="263"/>
      <c r="BN35" s="263"/>
      <c r="BO35" s="263"/>
      <c r="BP35" s="263"/>
    </row>
    <row r="36" spans="1:68" s="219" customFormat="1" ht="165" customHeight="1" x14ac:dyDescent="0.35">
      <c r="A36" s="326"/>
      <c r="B36" s="326"/>
      <c r="C36" s="321"/>
      <c r="D36" s="321"/>
      <c r="E36" s="321"/>
      <c r="F36" s="339"/>
      <c r="G36" s="321"/>
      <c r="H36" s="324"/>
      <c r="I36" s="324"/>
      <c r="J36" s="324"/>
      <c r="K36" s="324"/>
      <c r="L36" s="504"/>
      <c r="M36" s="528"/>
      <c r="N36" s="391"/>
      <c r="O36" s="293"/>
      <c r="P36" s="391"/>
      <c r="Q36" s="385"/>
      <c r="R36" s="391"/>
      <c r="S36" s="293"/>
      <c r="T36" s="391"/>
      <c r="U36" s="609"/>
      <c r="V36" s="303"/>
      <c r="W36" s="293"/>
      <c r="X36" s="391"/>
      <c r="Y36" s="302"/>
      <c r="Z36" s="303"/>
      <c r="AA36" s="301"/>
      <c r="AB36" s="303"/>
      <c r="AC36" s="324"/>
      <c r="AD36" s="493"/>
      <c r="AE36" s="324"/>
      <c r="AF36" s="29" t="s">
        <v>126</v>
      </c>
      <c r="AG36" s="29">
        <v>2</v>
      </c>
      <c r="AH36" s="102" t="s">
        <v>280</v>
      </c>
      <c r="AI36" s="163">
        <v>1</v>
      </c>
      <c r="AJ36" s="200" t="s">
        <v>300</v>
      </c>
      <c r="AK36" s="196" t="s">
        <v>353</v>
      </c>
      <c r="AL36" s="196">
        <v>1</v>
      </c>
      <c r="AM36" s="196"/>
      <c r="AN36" s="196"/>
      <c r="AO36" s="196"/>
      <c r="AP36" s="196"/>
      <c r="AQ36" s="196" t="s">
        <v>506</v>
      </c>
      <c r="AR36" s="196">
        <v>1</v>
      </c>
      <c r="AS36" s="196">
        <v>2</v>
      </c>
      <c r="AT36" s="29">
        <v>8</v>
      </c>
      <c r="AU36" s="176"/>
      <c r="AV36" s="324"/>
      <c r="AW36" s="30" t="s">
        <v>127</v>
      </c>
      <c r="AX36" s="31">
        <v>40000000</v>
      </c>
      <c r="AY36" s="504"/>
      <c r="AZ36" s="32" t="s">
        <v>128</v>
      </c>
      <c r="BA36" s="621"/>
      <c r="BB36" s="613"/>
      <c r="BC36" s="577"/>
      <c r="BD36" s="571"/>
      <c r="BE36" s="139"/>
      <c r="BF36" s="598"/>
      <c r="BG36" s="218"/>
      <c r="BH36" s="263"/>
      <c r="BI36" s="264"/>
      <c r="BJ36" s="263"/>
      <c r="BK36" s="263"/>
      <c r="BL36" s="263"/>
      <c r="BM36" s="263"/>
      <c r="BN36" s="263"/>
      <c r="BO36" s="263"/>
      <c r="BP36" s="263"/>
    </row>
    <row r="37" spans="1:68" s="219" customFormat="1" ht="136" customHeight="1" x14ac:dyDescent="0.35">
      <c r="A37" s="326"/>
      <c r="B37" s="326"/>
      <c r="C37" s="413"/>
      <c r="D37" s="413"/>
      <c r="E37" s="413"/>
      <c r="F37" s="220"/>
      <c r="G37" s="413" t="s">
        <v>129</v>
      </c>
      <c r="H37" s="413" t="s">
        <v>130</v>
      </c>
      <c r="I37" s="413">
        <v>0</v>
      </c>
      <c r="J37" s="413" t="s">
        <v>131</v>
      </c>
      <c r="K37" s="413" t="s">
        <v>132</v>
      </c>
      <c r="L37" s="413">
        <v>2</v>
      </c>
      <c r="M37" s="494">
        <v>0</v>
      </c>
      <c r="N37" s="297">
        <f>M37/L37</f>
        <v>0</v>
      </c>
      <c r="O37" s="297">
        <f>(N37+N41)/2</f>
        <v>0.2</v>
      </c>
      <c r="P37" s="297">
        <f>M37/4</f>
        <v>0</v>
      </c>
      <c r="Q37" s="473">
        <v>1</v>
      </c>
      <c r="R37" s="297">
        <f>Q37/L37</f>
        <v>0.5</v>
      </c>
      <c r="S37" s="297">
        <f>(R37+R41)/2</f>
        <v>0.55000000000000004</v>
      </c>
      <c r="T37" s="297">
        <f>(Q37+M37)/4</f>
        <v>0.25</v>
      </c>
      <c r="U37" s="473">
        <v>2</v>
      </c>
      <c r="V37" s="297">
        <v>1</v>
      </c>
      <c r="W37" s="297">
        <f>(V37+V41)/2</f>
        <v>1</v>
      </c>
      <c r="X37" s="297">
        <f>(M37+Q37+U37)/4</f>
        <v>0.75</v>
      </c>
      <c r="Y37" s="294">
        <f>AR38</f>
        <v>1</v>
      </c>
      <c r="Z37" s="297">
        <v>1</v>
      </c>
      <c r="AA37" s="297">
        <v>1</v>
      </c>
      <c r="AB37" s="297">
        <f>(Y37+U37+Q37+M37)/4</f>
        <v>1</v>
      </c>
      <c r="AC37" s="413" t="s">
        <v>462</v>
      </c>
      <c r="AD37" s="469">
        <v>2020130010163</v>
      </c>
      <c r="AE37" s="413" t="s">
        <v>463</v>
      </c>
      <c r="AF37" s="35" t="s">
        <v>133</v>
      </c>
      <c r="AG37" s="36">
        <v>2</v>
      </c>
      <c r="AH37" s="103"/>
      <c r="AI37" s="164"/>
      <c r="AJ37" s="201"/>
      <c r="AK37" s="195" t="s">
        <v>341</v>
      </c>
      <c r="AL37" s="195">
        <v>1</v>
      </c>
      <c r="AM37" s="195">
        <v>1</v>
      </c>
      <c r="AN37" s="35" t="s">
        <v>413</v>
      </c>
      <c r="AO37" s="195">
        <v>3</v>
      </c>
      <c r="AP37" s="195">
        <v>3</v>
      </c>
      <c r="AQ37" s="195"/>
      <c r="AR37" s="195"/>
      <c r="AS37" s="195"/>
      <c r="AT37" s="36">
        <v>4</v>
      </c>
      <c r="AU37" s="35"/>
      <c r="AV37" s="413" t="s">
        <v>34</v>
      </c>
      <c r="AW37" s="41" t="s">
        <v>56</v>
      </c>
      <c r="AX37" s="37">
        <f>320000000+352602000</f>
        <v>672602000</v>
      </c>
      <c r="AY37" s="416" t="s">
        <v>134</v>
      </c>
      <c r="AZ37" s="38" t="s">
        <v>135</v>
      </c>
      <c r="BA37" s="619">
        <f>SUM(AX37:AX45)</f>
        <v>1011401598</v>
      </c>
      <c r="BB37" s="615">
        <v>540762669</v>
      </c>
      <c r="BC37" s="578">
        <v>326966533</v>
      </c>
      <c r="BD37" s="569">
        <f>BC37/BB37</f>
        <v>0.60463961686674783</v>
      </c>
      <c r="BE37" s="140" t="s">
        <v>414</v>
      </c>
      <c r="BF37" s="590"/>
      <c r="BG37" s="218" t="s">
        <v>464</v>
      </c>
      <c r="BI37" s="218"/>
    </row>
    <row r="38" spans="1:68" s="39" customFormat="1" ht="60" customHeight="1" x14ac:dyDescent="0.35">
      <c r="A38" s="326"/>
      <c r="B38" s="326"/>
      <c r="C38" s="414"/>
      <c r="D38" s="414"/>
      <c r="E38" s="414"/>
      <c r="F38" s="209"/>
      <c r="G38" s="414"/>
      <c r="H38" s="414"/>
      <c r="I38" s="414"/>
      <c r="J38" s="414"/>
      <c r="K38" s="414"/>
      <c r="L38" s="414"/>
      <c r="M38" s="495"/>
      <c r="N38" s="298"/>
      <c r="O38" s="298"/>
      <c r="P38" s="298"/>
      <c r="Q38" s="474"/>
      <c r="R38" s="298"/>
      <c r="S38" s="298"/>
      <c r="T38" s="298"/>
      <c r="U38" s="474"/>
      <c r="V38" s="298"/>
      <c r="W38" s="298"/>
      <c r="X38" s="298"/>
      <c r="Y38" s="295"/>
      <c r="Z38" s="298"/>
      <c r="AA38" s="298"/>
      <c r="AB38" s="298"/>
      <c r="AC38" s="414"/>
      <c r="AD38" s="470"/>
      <c r="AE38" s="414"/>
      <c r="AF38" s="35" t="s">
        <v>136</v>
      </c>
      <c r="AG38" s="36">
        <v>2</v>
      </c>
      <c r="AH38" s="103"/>
      <c r="AI38" s="164"/>
      <c r="AJ38" s="201"/>
      <c r="AK38" s="195"/>
      <c r="AL38" s="195">
        <v>0</v>
      </c>
      <c r="AM38" s="195"/>
      <c r="AN38" s="195"/>
      <c r="AO38" s="195"/>
      <c r="AP38" s="195"/>
      <c r="AQ38" s="195" t="s">
        <v>482</v>
      </c>
      <c r="AR38" s="195">
        <v>1</v>
      </c>
      <c r="AS38" s="195">
        <v>20</v>
      </c>
      <c r="AT38" s="36">
        <v>7</v>
      </c>
      <c r="AU38" s="176"/>
      <c r="AV38" s="414"/>
      <c r="AW38" s="41" t="s">
        <v>48</v>
      </c>
      <c r="AX38" s="37">
        <v>90000000</v>
      </c>
      <c r="AY38" s="417"/>
      <c r="AZ38" s="38" t="s">
        <v>137</v>
      </c>
      <c r="BA38" s="620"/>
      <c r="BB38" s="613"/>
      <c r="BC38" s="579"/>
      <c r="BD38" s="570"/>
      <c r="BE38" s="140" t="s">
        <v>481</v>
      </c>
      <c r="BF38" s="590"/>
      <c r="BG38" s="40" t="s">
        <v>442</v>
      </c>
      <c r="BH38" s="39" t="s">
        <v>465</v>
      </c>
      <c r="BI38" s="40"/>
    </row>
    <row r="39" spans="1:68" s="39" customFormat="1" ht="131.15" customHeight="1" x14ac:dyDescent="0.35">
      <c r="A39" s="326"/>
      <c r="B39" s="326"/>
      <c r="C39" s="414"/>
      <c r="D39" s="414"/>
      <c r="E39" s="414"/>
      <c r="F39" s="209"/>
      <c r="G39" s="414"/>
      <c r="H39" s="414"/>
      <c r="I39" s="414"/>
      <c r="J39" s="414"/>
      <c r="K39" s="414"/>
      <c r="L39" s="414"/>
      <c r="M39" s="495"/>
      <c r="N39" s="298"/>
      <c r="O39" s="298"/>
      <c r="P39" s="298"/>
      <c r="Q39" s="474"/>
      <c r="R39" s="298"/>
      <c r="S39" s="298"/>
      <c r="T39" s="298"/>
      <c r="U39" s="474"/>
      <c r="V39" s="298"/>
      <c r="W39" s="298"/>
      <c r="X39" s="298"/>
      <c r="Y39" s="295"/>
      <c r="Z39" s="298"/>
      <c r="AA39" s="298"/>
      <c r="AB39" s="298"/>
      <c r="AC39" s="414"/>
      <c r="AD39" s="470"/>
      <c r="AE39" s="414"/>
      <c r="AF39" s="35" t="s">
        <v>138</v>
      </c>
      <c r="AG39" s="36">
        <v>2</v>
      </c>
      <c r="AH39" s="103"/>
      <c r="AI39" s="164"/>
      <c r="AJ39" s="201"/>
      <c r="AK39" s="195"/>
      <c r="AL39" s="195">
        <v>0</v>
      </c>
      <c r="AM39" s="195"/>
      <c r="AN39" s="195"/>
      <c r="AO39" s="195"/>
      <c r="AP39" s="195"/>
      <c r="AQ39" s="195"/>
      <c r="AR39" s="195"/>
      <c r="AS39" s="195"/>
      <c r="AT39" s="36">
        <v>4</v>
      </c>
      <c r="AU39" s="176"/>
      <c r="AV39" s="414"/>
      <c r="AW39" s="41" t="s">
        <v>35</v>
      </c>
      <c r="AX39" s="37">
        <v>50000000</v>
      </c>
      <c r="AY39" s="417"/>
      <c r="AZ39" s="38" t="s">
        <v>139</v>
      </c>
      <c r="BA39" s="620"/>
      <c r="BB39" s="613"/>
      <c r="BC39" s="579"/>
      <c r="BD39" s="570"/>
      <c r="BE39" s="140"/>
      <c r="BF39" s="590"/>
      <c r="BG39" s="40"/>
      <c r="BI39" s="40"/>
    </row>
    <row r="40" spans="1:68" s="39" customFormat="1" ht="136" customHeight="1" x14ac:dyDescent="0.35">
      <c r="A40" s="326"/>
      <c r="B40" s="326"/>
      <c r="C40" s="414"/>
      <c r="D40" s="414"/>
      <c r="E40" s="414"/>
      <c r="F40" s="209"/>
      <c r="G40" s="414"/>
      <c r="H40" s="415"/>
      <c r="I40" s="415"/>
      <c r="J40" s="415"/>
      <c r="K40" s="415"/>
      <c r="L40" s="415"/>
      <c r="M40" s="496"/>
      <c r="N40" s="299"/>
      <c r="O40" s="298"/>
      <c r="P40" s="299"/>
      <c r="Q40" s="475"/>
      <c r="R40" s="299"/>
      <c r="S40" s="298"/>
      <c r="T40" s="299"/>
      <c r="U40" s="475"/>
      <c r="V40" s="299"/>
      <c r="W40" s="298"/>
      <c r="X40" s="299"/>
      <c r="Y40" s="296"/>
      <c r="Z40" s="299"/>
      <c r="AA40" s="298"/>
      <c r="AB40" s="299"/>
      <c r="AC40" s="415"/>
      <c r="AD40" s="471"/>
      <c r="AE40" s="415"/>
      <c r="AF40" s="35" t="s">
        <v>140</v>
      </c>
      <c r="AG40" s="36">
        <v>1</v>
      </c>
      <c r="AH40" s="103"/>
      <c r="AI40" s="164"/>
      <c r="AJ40" s="201"/>
      <c r="AK40" s="195"/>
      <c r="AL40" s="195">
        <v>0</v>
      </c>
      <c r="AM40" s="195"/>
      <c r="AN40" s="195"/>
      <c r="AO40" s="195"/>
      <c r="AP40" s="195"/>
      <c r="AQ40" s="195"/>
      <c r="AR40" s="195"/>
      <c r="AS40" s="195"/>
      <c r="AT40" s="36">
        <v>2</v>
      </c>
      <c r="AU40" s="176"/>
      <c r="AV40" s="415"/>
      <c r="AW40" s="41" t="s">
        <v>115</v>
      </c>
      <c r="AX40" s="37">
        <v>45525249</v>
      </c>
      <c r="AY40" s="418"/>
      <c r="AZ40" s="38" t="s">
        <v>141</v>
      </c>
      <c r="BA40" s="620"/>
      <c r="BB40" s="613"/>
      <c r="BC40" s="579"/>
      <c r="BD40" s="570"/>
      <c r="BE40" s="140"/>
      <c r="BF40" s="590"/>
      <c r="BG40" s="40"/>
      <c r="BI40" s="40"/>
    </row>
    <row r="41" spans="1:68" s="47" customFormat="1" ht="37" customHeight="1" x14ac:dyDescent="0.35">
      <c r="A41" s="326"/>
      <c r="B41" s="326"/>
      <c r="C41" s="414"/>
      <c r="D41" s="414"/>
      <c r="E41" s="414"/>
      <c r="F41" s="209"/>
      <c r="G41" s="414"/>
      <c r="H41" s="419" t="s">
        <v>142</v>
      </c>
      <c r="I41" s="419">
        <v>0</v>
      </c>
      <c r="J41" s="419" t="s">
        <v>143</v>
      </c>
      <c r="K41" s="419" t="s">
        <v>144</v>
      </c>
      <c r="L41" s="419">
        <v>0.5</v>
      </c>
      <c r="M41" s="497">
        <v>0.2</v>
      </c>
      <c r="N41" s="297">
        <f>M41/L41</f>
        <v>0.4</v>
      </c>
      <c r="O41" s="298"/>
      <c r="P41" s="297">
        <f>M41/1</f>
        <v>0.2</v>
      </c>
      <c r="Q41" s="476">
        <v>0.1</v>
      </c>
      <c r="R41" s="297">
        <f>(Q41+M41)/L41</f>
        <v>0.60000000000000009</v>
      </c>
      <c r="S41" s="298"/>
      <c r="T41" s="297">
        <f>(Q41+M41)/1</f>
        <v>0.30000000000000004</v>
      </c>
      <c r="U41" s="476">
        <v>0.2</v>
      </c>
      <c r="V41" s="297">
        <f>(M41+Q41+U41)/L41</f>
        <v>1</v>
      </c>
      <c r="W41" s="298"/>
      <c r="X41" s="297">
        <f>(M41+Q41+U41)/1</f>
        <v>0.5</v>
      </c>
      <c r="Y41" s="294">
        <v>0.2</v>
      </c>
      <c r="Z41" s="297">
        <v>1</v>
      </c>
      <c r="AA41" s="298"/>
      <c r="AB41" s="297">
        <v>1</v>
      </c>
      <c r="AC41" s="419" t="s">
        <v>145</v>
      </c>
      <c r="AD41" s="500">
        <v>2021130010005</v>
      </c>
      <c r="AE41" s="419" t="s">
        <v>466</v>
      </c>
      <c r="AF41" s="42" t="s">
        <v>146</v>
      </c>
      <c r="AG41" s="43">
        <v>1</v>
      </c>
      <c r="AH41" s="104" t="s">
        <v>288</v>
      </c>
      <c r="AI41" s="165">
        <v>1</v>
      </c>
      <c r="AJ41" s="202"/>
      <c r="AK41" s="193">
        <v>1</v>
      </c>
      <c r="AL41" s="193">
        <v>0</v>
      </c>
      <c r="AM41" s="193">
        <v>1</v>
      </c>
      <c r="AN41" s="193" t="s">
        <v>415</v>
      </c>
      <c r="AO41" s="193">
        <v>1</v>
      </c>
      <c r="AP41" s="193">
        <v>1</v>
      </c>
      <c r="AQ41" s="193"/>
      <c r="AR41" s="193"/>
      <c r="AS41" s="193"/>
      <c r="AT41" s="43">
        <v>1</v>
      </c>
      <c r="AU41" s="176"/>
      <c r="AV41" s="419" t="s">
        <v>147</v>
      </c>
      <c r="AW41" s="44" t="s">
        <v>35</v>
      </c>
      <c r="AX41" s="45">
        <v>48274349</v>
      </c>
      <c r="AY41" s="422" t="s">
        <v>148</v>
      </c>
      <c r="AZ41" s="46" t="s">
        <v>149</v>
      </c>
      <c r="BA41" s="620"/>
      <c r="BB41" s="613"/>
      <c r="BC41" s="579"/>
      <c r="BD41" s="570"/>
      <c r="BE41" s="340"/>
      <c r="BF41" s="591"/>
      <c r="BG41" s="48" t="s">
        <v>467</v>
      </c>
      <c r="BH41" s="47" t="s">
        <v>453</v>
      </c>
      <c r="BI41" s="48"/>
    </row>
    <row r="42" spans="1:68" s="47" customFormat="1" ht="40" customHeight="1" x14ac:dyDescent="0.35">
      <c r="A42" s="326"/>
      <c r="B42" s="326"/>
      <c r="C42" s="414"/>
      <c r="D42" s="414"/>
      <c r="E42" s="414"/>
      <c r="F42" s="209"/>
      <c r="G42" s="414"/>
      <c r="H42" s="420"/>
      <c r="I42" s="420"/>
      <c r="J42" s="420"/>
      <c r="K42" s="420"/>
      <c r="L42" s="420"/>
      <c r="M42" s="498"/>
      <c r="N42" s="298"/>
      <c r="O42" s="298"/>
      <c r="P42" s="298"/>
      <c r="Q42" s="477"/>
      <c r="R42" s="298"/>
      <c r="S42" s="298"/>
      <c r="T42" s="298"/>
      <c r="U42" s="477"/>
      <c r="V42" s="298"/>
      <c r="W42" s="298"/>
      <c r="X42" s="298"/>
      <c r="Y42" s="295"/>
      <c r="Z42" s="298"/>
      <c r="AA42" s="298"/>
      <c r="AB42" s="298"/>
      <c r="AC42" s="420"/>
      <c r="AD42" s="501"/>
      <c r="AE42" s="420"/>
      <c r="AF42" s="42" t="s">
        <v>150</v>
      </c>
      <c r="AG42" s="43">
        <v>1</v>
      </c>
      <c r="AH42" s="104"/>
      <c r="AI42" s="165"/>
      <c r="AJ42" s="202"/>
      <c r="AK42" s="193"/>
      <c r="AL42" s="193">
        <v>0</v>
      </c>
      <c r="AM42" s="193"/>
      <c r="AN42" s="193" t="s">
        <v>415</v>
      </c>
      <c r="AO42" s="193">
        <v>1</v>
      </c>
      <c r="AP42" s="193">
        <v>1</v>
      </c>
      <c r="AQ42" s="193"/>
      <c r="AR42" s="193"/>
      <c r="AS42" s="193"/>
      <c r="AT42" s="43">
        <v>1</v>
      </c>
      <c r="AU42" s="176"/>
      <c r="AV42" s="420"/>
      <c r="AW42" s="44" t="s">
        <v>48</v>
      </c>
      <c r="AX42" s="45">
        <v>105000000</v>
      </c>
      <c r="AY42" s="423"/>
      <c r="AZ42" s="46" t="s">
        <v>137</v>
      </c>
      <c r="BA42" s="620"/>
      <c r="BB42" s="613"/>
      <c r="BC42" s="579"/>
      <c r="BD42" s="570"/>
      <c r="BE42" s="341"/>
      <c r="BF42" s="591"/>
      <c r="BG42" s="48"/>
      <c r="BI42" s="48"/>
    </row>
    <row r="43" spans="1:68" s="47" customFormat="1" ht="41.15" customHeight="1" x14ac:dyDescent="0.35">
      <c r="A43" s="326"/>
      <c r="B43" s="326"/>
      <c r="C43" s="414"/>
      <c r="D43" s="414"/>
      <c r="E43" s="414"/>
      <c r="F43" s="209"/>
      <c r="G43" s="414"/>
      <c r="H43" s="420"/>
      <c r="I43" s="420"/>
      <c r="J43" s="420"/>
      <c r="K43" s="420"/>
      <c r="L43" s="420"/>
      <c r="M43" s="498"/>
      <c r="N43" s="298"/>
      <c r="O43" s="298"/>
      <c r="P43" s="298"/>
      <c r="Q43" s="477"/>
      <c r="R43" s="298"/>
      <c r="S43" s="298"/>
      <c r="T43" s="298"/>
      <c r="U43" s="477"/>
      <c r="V43" s="298"/>
      <c r="W43" s="298"/>
      <c r="X43" s="298"/>
      <c r="Y43" s="295"/>
      <c r="Z43" s="298"/>
      <c r="AA43" s="298"/>
      <c r="AB43" s="298"/>
      <c r="AC43" s="420"/>
      <c r="AD43" s="501"/>
      <c r="AE43" s="420"/>
      <c r="AF43" s="42" t="s">
        <v>151</v>
      </c>
      <c r="AG43" s="43">
        <v>1</v>
      </c>
      <c r="AH43" s="105"/>
      <c r="AI43" s="166"/>
      <c r="AJ43" s="203"/>
      <c r="AK43" s="194"/>
      <c r="AL43" s="213">
        <v>0</v>
      </c>
      <c r="AM43" s="194"/>
      <c r="AN43" s="194"/>
      <c r="AO43" s="213"/>
      <c r="AP43" s="194"/>
      <c r="AQ43" s="194"/>
      <c r="AR43" s="194"/>
      <c r="AS43" s="194"/>
      <c r="AT43" s="43">
        <v>1</v>
      </c>
      <c r="AU43" s="176"/>
      <c r="AV43" s="420"/>
      <c r="AW43" s="49"/>
      <c r="AX43" s="45"/>
      <c r="AY43" s="423"/>
      <c r="AZ43" s="46"/>
      <c r="BA43" s="620"/>
      <c r="BB43" s="613"/>
      <c r="BC43" s="579"/>
      <c r="BD43" s="570"/>
      <c r="BE43" s="341"/>
      <c r="BF43" s="591"/>
      <c r="BG43" s="48"/>
      <c r="BI43" s="48"/>
    </row>
    <row r="44" spans="1:68" s="47" customFormat="1" ht="41.15" customHeight="1" x14ac:dyDescent="0.35">
      <c r="A44" s="326"/>
      <c r="B44" s="326"/>
      <c r="C44" s="414"/>
      <c r="D44" s="414"/>
      <c r="E44" s="414"/>
      <c r="F44" s="209"/>
      <c r="G44" s="414"/>
      <c r="H44" s="420"/>
      <c r="I44" s="420"/>
      <c r="J44" s="420"/>
      <c r="K44" s="420"/>
      <c r="L44" s="420"/>
      <c r="M44" s="498"/>
      <c r="N44" s="298"/>
      <c r="O44" s="298"/>
      <c r="P44" s="298"/>
      <c r="Q44" s="477"/>
      <c r="R44" s="298"/>
      <c r="S44" s="298"/>
      <c r="T44" s="298"/>
      <c r="U44" s="477"/>
      <c r="V44" s="298"/>
      <c r="W44" s="298"/>
      <c r="X44" s="298"/>
      <c r="Y44" s="295"/>
      <c r="Z44" s="298"/>
      <c r="AA44" s="298"/>
      <c r="AB44" s="298"/>
      <c r="AC44" s="420"/>
      <c r="AD44" s="501"/>
      <c r="AE44" s="420"/>
      <c r="AF44" s="42" t="s">
        <v>152</v>
      </c>
      <c r="AG44" s="43">
        <v>1</v>
      </c>
      <c r="AH44" s="105"/>
      <c r="AI44" s="166"/>
      <c r="AJ44" s="203"/>
      <c r="AK44" s="194"/>
      <c r="AL44" s="213">
        <v>0</v>
      </c>
      <c r="AM44" s="194"/>
      <c r="AN44" s="194"/>
      <c r="AO44" s="213"/>
      <c r="AP44" s="194"/>
      <c r="AQ44" s="194"/>
      <c r="AR44" s="194"/>
      <c r="AS44" s="194"/>
      <c r="AT44" s="43">
        <v>1</v>
      </c>
      <c r="AU44" s="176"/>
      <c r="AV44" s="420"/>
      <c r="AW44" s="49"/>
      <c r="AX44" s="45"/>
      <c r="AY44" s="423"/>
      <c r="AZ44" s="46"/>
      <c r="BA44" s="620"/>
      <c r="BB44" s="613"/>
      <c r="BC44" s="579"/>
      <c r="BD44" s="570"/>
      <c r="BE44" s="341"/>
      <c r="BF44" s="591"/>
      <c r="BG44" s="48"/>
      <c r="BI44" s="48"/>
    </row>
    <row r="45" spans="1:68" s="47" customFormat="1" ht="39" customHeight="1" x14ac:dyDescent="0.35">
      <c r="A45" s="326"/>
      <c r="B45" s="326"/>
      <c r="C45" s="415"/>
      <c r="D45" s="415"/>
      <c r="E45" s="415"/>
      <c r="F45" s="210"/>
      <c r="G45" s="415"/>
      <c r="H45" s="421"/>
      <c r="I45" s="421"/>
      <c r="J45" s="421"/>
      <c r="K45" s="421"/>
      <c r="L45" s="421"/>
      <c r="M45" s="499"/>
      <c r="N45" s="299"/>
      <c r="O45" s="299"/>
      <c r="P45" s="299"/>
      <c r="Q45" s="478"/>
      <c r="R45" s="299"/>
      <c r="S45" s="299"/>
      <c r="T45" s="299"/>
      <c r="U45" s="478"/>
      <c r="V45" s="299"/>
      <c r="W45" s="299"/>
      <c r="X45" s="299"/>
      <c r="Y45" s="296"/>
      <c r="Z45" s="299"/>
      <c r="AA45" s="299"/>
      <c r="AB45" s="299"/>
      <c r="AC45" s="421"/>
      <c r="AD45" s="502"/>
      <c r="AE45" s="421"/>
      <c r="AF45" s="42" t="s">
        <v>153</v>
      </c>
      <c r="AG45" s="43">
        <v>1</v>
      </c>
      <c r="AH45" s="105"/>
      <c r="AI45" s="166"/>
      <c r="AJ45" s="203"/>
      <c r="AK45" s="194"/>
      <c r="AL45" s="213">
        <v>0</v>
      </c>
      <c r="AM45" s="194"/>
      <c r="AN45" s="194"/>
      <c r="AO45" s="213"/>
      <c r="AP45" s="194"/>
      <c r="AQ45" s="194"/>
      <c r="AR45" s="194"/>
      <c r="AS45" s="194"/>
      <c r="AT45" s="43">
        <v>1</v>
      </c>
      <c r="AU45" s="176"/>
      <c r="AV45" s="421"/>
      <c r="AW45" s="49"/>
      <c r="AX45" s="45"/>
      <c r="AY45" s="424"/>
      <c r="AZ45" s="46"/>
      <c r="BA45" s="621"/>
      <c r="BB45" s="613"/>
      <c r="BC45" s="580"/>
      <c r="BD45" s="571"/>
      <c r="BE45" s="342"/>
      <c r="BF45" s="591"/>
      <c r="BG45" s="48"/>
      <c r="BI45" s="48"/>
    </row>
    <row r="46" spans="1:68" s="55" customFormat="1" ht="101.15" customHeight="1" x14ac:dyDescent="0.35">
      <c r="A46" s="326"/>
      <c r="B46" s="326"/>
      <c r="C46" s="407" t="s">
        <v>154</v>
      </c>
      <c r="D46" s="407" t="s">
        <v>155</v>
      </c>
      <c r="E46" s="407" t="s">
        <v>156</v>
      </c>
      <c r="F46" s="454">
        <f>(((M46+Q46)/237)+((M52+Q52)/16))/2</f>
        <v>0.46743143459915615</v>
      </c>
      <c r="G46" s="407" t="s">
        <v>157</v>
      </c>
      <c r="H46" s="479" t="s">
        <v>158</v>
      </c>
      <c r="I46" s="407" t="s">
        <v>159</v>
      </c>
      <c r="J46" s="407" t="s">
        <v>160</v>
      </c>
      <c r="K46" s="479" t="s">
        <v>161</v>
      </c>
      <c r="L46" s="407">
        <v>63</v>
      </c>
      <c r="M46" s="485">
        <v>14</v>
      </c>
      <c r="N46" s="343">
        <f>M46/L46</f>
        <v>0.22222222222222221</v>
      </c>
      <c r="O46" s="343">
        <f>(N46+N52+N59)/3</f>
        <v>0.24074074074074073</v>
      </c>
      <c r="P46" s="343">
        <f>M46/237</f>
        <v>5.9071729957805907E-2</v>
      </c>
      <c r="Q46" s="353">
        <v>15</v>
      </c>
      <c r="R46" s="472">
        <f>(Q46+M46)/L46</f>
        <v>0.46031746031746029</v>
      </c>
      <c r="S46" s="343">
        <f>(R46+R52+R59)/3</f>
        <v>0.82010582010582012</v>
      </c>
      <c r="T46" s="343">
        <f>(Q46+M46)/237</f>
        <v>0.12236286919831224</v>
      </c>
      <c r="U46" s="353">
        <v>27</v>
      </c>
      <c r="V46" s="472">
        <f>(M46+Q46+U46)/L46</f>
        <v>0.88888888888888884</v>
      </c>
      <c r="W46" s="343">
        <f>(V46+V52+V59)/3</f>
        <v>0.96296296296296291</v>
      </c>
      <c r="X46" s="343">
        <f>(M46+Q46+U46)/237</f>
        <v>0.23628691983122363</v>
      </c>
      <c r="Y46" s="463">
        <f>AS46+AS50+AS51</f>
        <v>362</v>
      </c>
      <c r="Z46" s="472">
        <v>1</v>
      </c>
      <c r="AA46" s="343">
        <f>(Z46+Z52+Z59)/3</f>
        <v>1</v>
      </c>
      <c r="AB46" s="343">
        <v>1</v>
      </c>
      <c r="AC46" s="407" t="s">
        <v>444</v>
      </c>
      <c r="AD46" s="482">
        <v>2021130010255</v>
      </c>
      <c r="AE46" s="407" t="s">
        <v>445</v>
      </c>
      <c r="AF46" s="50" t="s">
        <v>162</v>
      </c>
      <c r="AG46" s="51">
        <v>1</v>
      </c>
      <c r="AH46" s="106"/>
      <c r="AI46" s="167"/>
      <c r="AJ46" s="204"/>
      <c r="AK46" s="191"/>
      <c r="AL46" s="191">
        <v>0</v>
      </c>
      <c r="AM46" s="191"/>
      <c r="AN46" s="191"/>
      <c r="AO46" s="191"/>
      <c r="AP46" s="191"/>
      <c r="AQ46" s="191" t="s">
        <v>503</v>
      </c>
      <c r="AR46" s="191">
        <v>1</v>
      </c>
      <c r="AS46" s="191">
        <v>134</v>
      </c>
      <c r="AT46" s="51">
        <v>1</v>
      </c>
      <c r="AU46" s="176"/>
      <c r="AV46" s="407" t="s">
        <v>34</v>
      </c>
      <c r="AW46" s="52" t="s">
        <v>163</v>
      </c>
      <c r="AX46" s="53">
        <v>50000000</v>
      </c>
      <c r="AY46" s="410" t="s">
        <v>164</v>
      </c>
      <c r="AZ46" s="54" t="s">
        <v>165</v>
      </c>
      <c r="BA46" s="619">
        <f>SUM(AX46:AX61)</f>
        <v>1679760249</v>
      </c>
      <c r="BB46" s="614">
        <v>2360176871.0900002</v>
      </c>
      <c r="BC46" s="581">
        <v>2197892467</v>
      </c>
      <c r="BD46" s="569">
        <f>BC46/BB46</f>
        <v>0.93124057519678494</v>
      </c>
      <c r="BE46" s="141" t="s">
        <v>483</v>
      </c>
      <c r="BF46" s="189"/>
      <c r="BG46" s="56" t="s">
        <v>446</v>
      </c>
      <c r="BI46" s="56"/>
    </row>
    <row r="47" spans="1:68" s="55" customFormat="1" ht="139" customHeight="1" x14ac:dyDescent="0.35">
      <c r="A47" s="326"/>
      <c r="B47" s="326"/>
      <c r="C47" s="408"/>
      <c r="D47" s="408"/>
      <c r="E47" s="408"/>
      <c r="F47" s="455"/>
      <c r="G47" s="408"/>
      <c r="H47" s="480"/>
      <c r="I47" s="408"/>
      <c r="J47" s="408"/>
      <c r="K47" s="480"/>
      <c r="L47" s="408"/>
      <c r="M47" s="486"/>
      <c r="N47" s="344"/>
      <c r="O47" s="344"/>
      <c r="P47" s="344"/>
      <c r="Q47" s="354"/>
      <c r="R47" s="472"/>
      <c r="S47" s="344"/>
      <c r="T47" s="344"/>
      <c r="U47" s="354"/>
      <c r="V47" s="472"/>
      <c r="W47" s="344"/>
      <c r="X47" s="344"/>
      <c r="Y47" s="463"/>
      <c r="Z47" s="472"/>
      <c r="AA47" s="344"/>
      <c r="AB47" s="344"/>
      <c r="AC47" s="408"/>
      <c r="AD47" s="483"/>
      <c r="AE47" s="408"/>
      <c r="AF47" s="51" t="s">
        <v>166</v>
      </c>
      <c r="AG47" s="51">
        <v>3</v>
      </c>
      <c r="AH47" s="106" t="s">
        <v>287</v>
      </c>
      <c r="AI47" s="167">
        <v>2</v>
      </c>
      <c r="AJ47" s="204" t="s">
        <v>301</v>
      </c>
      <c r="AK47" s="191" t="s">
        <v>348</v>
      </c>
      <c r="AL47" s="191">
        <v>4</v>
      </c>
      <c r="AM47" s="191">
        <v>3595</v>
      </c>
      <c r="AN47" s="191"/>
      <c r="AO47" s="191"/>
      <c r="AP47" s="191"/>
      <c r="AQ47" s="191" t="s">
        <v>497</v>
      </c>
      <c r="AR47" s="191">
        <v>6</v>
      </c>
      <c r="AS47" s="191">
        <f>3776+6118+4931+9712+4674+8492</f>
        <v>37703</v>
      </c>
      <c r="AT47" s="51">
        <v>8</v>
      </c>
      <c r="AU47" s="176"/>
      <c r="AV47" s="408"/>
      <c r="AW47" s="52" t="s">
        <v>167</v>
      </c>
      <c r="AX47" s="53">
        <v>50000000</v>
      </c>
      <c r="AY47" s="411"/>
      <c r="AZ47" s="54" t="s">
        <v>168</v>
      </c>
      <c r="BA47" s="620"/>
      <c r="BB47" s="613"/>
      <c r="BC47" s="582"/>
      <c r="BD47" s="570"/>
      <c r="BE47" s="142" t="s">
        <v>336</v>
      </c>
      <c r="BF47" s="189"/>
      <c r="BG47" s="56"/>
      <c r="BI47" s="56"/>
    </row>
    <row r="48" spans="1:68" s="55" customFormat="1" ht="128.15" customHeight="1" x14ac:dyDescent="0.35">
      <c r="A48" s="326"/>
      <c r="B48" s="326"/>
      <c r="C48" s="408"/>
      <c r="D48" s="408"/>
      <c r="E48" s="408"/>
      <c r="F48" s="455"/>
      <c r="G48" s="408"/>
      <c r="H48" s="480"/>
      <c r="I48" s="408"/>
      <c r="J48" s="408"/>
      <c r="K48" s="480"/>
      <c r="L48" s="408"/>
      <c r="M48" s="486"/>
      <c r="N48" s="344"/>
      <c r="O48" s="344"/>
      <c r="P48" s="344"/>
      <c r="Q48" s="354"/>
      <c r="R48" s="472"/>
      <c r="S48" s="344"/>
      <c r="T48" s="344"/>
      <c r="U48" s="354"/>
      <c r="V48" s="472"/>
      <c r="W48" s="344"/>
      <c r="X48" s="344"/>
      <c r="Y48" s="463"/>
      <c r="Z48" s="472"/>
      <c r="AA48" s="344"/>
      <c r="AB48" s="344"/>
      <c r="AC48" s="408"/>
      <c r="AD48" s="483"/>
      <c r="AE48" s="408"/>
      <c r="AF48" s="50" t="s">
        <v>169</v>
      </c>
      <c r="AG48" s="51">
        <v>2</v>
      </c>
      <c r="AH48" s="107"/>
      <c r="AI48" s="168"/>
      <c r="AJ48" s="204"/>
      <c r="AK48" s="191"/>
      <c r="AL48" s="191">
        <v>0</v>
      </c>
      <c r="AM48" s="191"/>
      <c r="AN48" s="191"/>
      <c r="AO48" s="191"/>
      <c r="AP48" s="191"/>
      <c r="AQ48" s="191"/>
      <c r="AR48" s="191"/>
      <c r="AS48" s="191"/>
      <c r="AT48" s="51">
        <v>7</v>
      </c>
      <c r="AU48" s="254"/>
      <c r="AV48" s="408"/>
      <c r="AW48" s="52" t="s">
        <v>48</v>
      </c>
      <c r="AX48" s="53">
        <v>50000000</v>
      </c>
      <c r="AY48" s="411"/>
      <c r="AZ48" s="54" t="s">
        <v>170</v>
      </c>
      <c r="BA48" s="620"/>
      <c r="BB48" s="613"/>
      <c r="BC48" s="582"/>
      <c r="BD48" s="570"/>
      <c r="BE48" s="141"/>
      <c r="BF48" s="189"/>
      <c r="BG48" s="56"/>
      <c r="BI48" s="56"/>
    </row>
    <row r="49" spans="1:61" s="55" customFormat="1" ht="94" customHeight="1" x14ac:dyDescent="0.35">
      <c r="A49" s="326"/>
      <c r="B49" s="326"/>
      <c r="C49" s="408"/>
      <c r="D49" s="408"/>
      <c r="E49" s="408"/>
      <c r="F49" s="455"/>
      <c r="G49" s="408"/>
      <c r="H49" s="480"/>
      <c r="I49" s="408"/>
      <c r="J49" s="408"/>
      <c r="K49" s="480"/>
      <c r="L49" s="408"/>
      <c r="M49" s="486"/>
      <c r="N49" s="344"/>
      <c r="O49" s="344"/>
      <c r="P49" s="344"/>
      <c r="Q49" s="354"/>
      <c r="R49" s="472"/>
      <c r="S49" s="344"/>
      <c r="T49" s="344"/>
      <c r="U49" s="354"/>
      <c r="V49" s="472"/>
      <c r="W49" s="344"/>
      <c r="X49" s="344"/>
      <c r="Y49" s="463"/>
      <c r="Z49" s="472"/>
      <c r="AA49" s="344"/>
      <c r="AB49" s="344"/>
      <c r="AC49" s="408"/>
      <c r="AD49" s="483"/>
      <c r="AE49" s="408"/>
      <c r="AF49" s="51" t="s">
        <v>171</v>
      </c>
      <c r="AG49" s="51">
        <v>2</v>
      </c>
      <c r="AH49" s="51"/>
      <c r="AI49" s="51"/>
      <c r="AJ49" s="51"/>
      <c r="AK49" s="51"/>
      <c r="AL49" s="51">
        <v>0</v>
      </c>
      <c r="AM49" s="51"/>
      <c r="AN49" s="51"/>
      <c r="AO49" s="51"/>
      <c r="AP49" s="191"/>
      <c r="AQ49" s="191" t="s">
        <v>498</v>
      </c>
      <c r="AR49" s="191">
        <v>1</v>
      </c>
      <c r="AS49" s="191">
        <v>600</v>
      </c>
      <c r="AT49" s="51">
        <v>7</v>
      </c>
      <c r="AU49" s="254"/>
      <c r="AV49" s="408"/>
      <c r="AW49" s="52" t="s">
        <v>48</v>
      </c>
      <c r="AX49" s="53">
        <v>20000000</v>
      </c>
      <c r="AY49" s="411"/>
      <c r="AZ49" s="54" t="s">
        <v>170</v>
      </c>
      <c r="BA49" s="620"/>
      <c r="BB49" s="613"/>
      <c r="BC49" s="582"/>
      <c r="BD49" s="570"/>
      <c r="BE49" s="141" t="s">
        <v>499</v>
      </c>
      <c r="BF49" s="189"/>
      <c r="BG49" s="56"/>
      <c r="BI49" s="56"/>
    </row>
    <row r="50" spans="1:61" s="55" customFormat="1" ht="74.150000000000006" customHeight="1" x14ac:dyDescent="0.35">
      <c r="A50" s="326"/>
      <c r="B50" s="326"/>
      <c r="C50" s="408"/>
      <c r="D50" s="408"/>
      <c r="E50" s="408"/>
      <c r="F50" s="455"/>
      <c r="G50" s="408"/>
      <c r="H50" s="480"/>
      <c r="I50" s="408"/>
      <c r="J50" s="408"/>
      <c r="K50" s="480"/>
      <c r="L50" s="408"/>
      <c r="M50" s="486"/>
      <c r="N50" s="344"/>
      <c r="O50" s="344"/>
      <c r="P50" s="344"/>
      <c r="Q50" s="354"/>
      <c r="R50" s="472"/>
      <c r="S50" s="344"/>
      <c r="T50" s="344"/>
      <c r="U50" s="354"/>
      <c r="V50" s="472"/>
      <c r="W50" s="344"/>
      <c r="X50" s="344"/>
      <c r="Y50" s="463"/>
      <c r="Z50" s="472"/>
      <c r="AA50" s="344"/>
      <c r="AB50" s="344"/>
      <c r="AC50" s="408"/>
      <c r="AD50" s="483"/>
      <c r="AE50" s="408"/>
      <c r="AF50" s="51" t="s">
        <v>172</v>
      </c>
      <c r="AG50" s="51">
        <v>3</v>
      </c>
      <c r="AH50" s="106"/>
      <c r="AI50" s="167"/>
      <c r="AJ50" s="204"/>
      <c r="AK50" s="191" t="s">
        <v>338</v>
      </c>
      <c r="AL50" s="191">
        <v>1</v>
      </c>
      <c r="AM50" s="191">
        <v>1</v>
      </c>
      <c r="AN50" s="191" t="s">
        <v>425</v>
      </c>
      <c r="AO50" s="191">
        <v>1</v>
      </c>
      <c r="AP50" s="191">
        <v>25</v>
      </c>
      <c r="AQ50" s="191" t="s">
        <v>500</v>
      </c>
      <c r="AR50" s="191">
        <v>6</v>
      </c>
      <c r="AS50" s="191">
        <f>25+152+25</f>
        <v>202</v>
      </c>
      <c r="AT50" s="51">
        <v>10</v>
      </c>
      <c r="AU50" s="254"/>
      <c r="AV50" s="408"/>
      <c r="AW50" s="52" t="s">
        <v>173</v>
      </c>
      <c r="AX50" s="53">
        <f>185552000+285613000+[1]Hoja1!K8</f>
        <v>654303000</v>
      </c>
      <c r="AY50" s="411"/>
      <c r="AZ50" s="54" t="s">
        <v>174</v>
      </c>
      <c r="BA50" s="620"/>
      <c r="BB50" s="613"/>
      <c r="BC50" s="582"/>
      <c r="BD50" s="570"/>
      <c r="BE50" s="143" t="s">
        <v>339</v>
      </c>
      <c r="BF50" s="189"/>
      <c r="BG50" s="56"/>
      <c r="BI50" s="56"/>
    </row>
    <row r="51" spans="1:61" s="219" customFormat="1" ht="79" customHeight="1" x14ac:dyDescent="0.35">
      <c r="A51" s="326"/>
      <c r="B51" s="326"/>
      <c r="C51" s="408"/>
      <c r="D51" s="408"/>
      <c r="E51" s="408"/>
      <c r="F51" s="455"/>
      <c r="G51" s="408"/>
      <c r="H51" s="481"/>
      <c r="I51" s="409"/>
      <c r="J51" s="409"/>
      <c r="K51" s="481"/>
      <c r="L51" s="409"/>
      <c r="M51" s="487"/>
      <c r="N51" s="345"/>
      <c r="O51" s="344"/>
      <c r="P51" s="345"/>
      <c r="Q51" s="354"/>
      <c r="R51" s="472"/>
      <c r="S51" s="344"/>
      <c r="T51" s="344"/>
      <c r="U51" s="354"/>
      <c r="V51" s="472"/>
      <c r="W51" s="344"/>
      <c r="X51" s="344"/>
      <c r="Y51" s="463"/>
      <c r="Z51" s="472"/>
      <c r="AA51" s="344"/>
      <c r="AB51" s="345"/>
      <c r="AC51" s="408"/>
      <c r="AD51" s="483"/>
      <c r="AE51" s="408"/>
      <c r="AF51" s="51" t="s">
        <v>175</v>
      </c>
      <c r="AG51" s="51">
        <v>3</v>
      </c>
      <c r="AH51" s="106"/>
      <c r="AI51" s="167"/>
      <c r="AJ51" s="204"/>
      <c r="AK51" s="191" t="s">
        <v>343</v>
      </c>
      <c r="AL51" s="191">
        <v>3</v>
      </c>
      <c r="AM51" s="191">
        <v>10</v>
      </c>
      <c r="AN51" s="191"/>
      <c r="AO51" s="191"/>
      <c r="AP51" s="191"/>
      <c r="AQ51" s="191" t="s">
        <v>507</v>
      </c>
      <c r="AR51" s="191">
        <v>5</v>
      </c>
      <c r="AS51" s="191">
        <v>26</v>
      </c>
      <c r="AT51" s="51">
        <v>7</v>
      </c>
      <c r="AU51" s="254"/>
      <c r="AV51" s="408"/>
      <c r="AW51" s="52" t="s">
        <v>48</v>
      </c>
      <c r="AX51" s="53">
        <v>60000000</v>
      </c>
      <c r="AY51" s="411"/>
      <c r="AZ51" s="54" t="s">
        <v>170</v>
      </c>
      <c r="BA51" s="620"/>
      <c r="BB51" s="613"/>
      <c r="BC51" s="582"/>
      <c r="BD51" s="570"/>
      <c r="BE51" s="221" t="s">
        <v>342</v>
      </c>
      <c r="BF51" s="222" t="s">
        <v>337</v>
      </c>
      <c r="BG51" s="218" t="s">
        <v>448</v>
      </c>
      <c r="BI51" s="56" t="s">
        <v>447</v>
      </c>
    </row>
    <row r="52" spans="1:61" s="219" customFormat="1" ht="58" customHeight="1" x14ac:dyDescent="0.35">
      <c r="A52" s="326"/>
      <c r="B52" s="326"/>
      <c r="C52" s="408"/>
      <c r="D52" s="408"/>
      <c r="E52" s="408"/>
      <c r="F52" s="455"/>
      <c r="G52" s="408"/>
      <c r="H52" s="479" t="s">
        <v>176</v>
      </c>
      <c r="I52" s="407" t="s">
        <v>177</v>
      </c>
      <c r="J52" s="407" t="s">
        <v>178</v>
      </c>
      <c r="K52" s="479" t="s">
        <v>179</v>
      </c>
      <c r="L52" s="407">
        <v>4</v>
      </c>
      <c r="M52" s="485">
        <v>2</v>
      </c>
      <c r="N52" s="343">
        <f>M52/L52</f>
        <v>0.5</v>
      </c>
      <c r="O52" s="344"/>
      <c r="P52" s="343">
        <f>M52/16</f>
        <v>0.125</v>
      </c>
      <c r="Q52" s="354">
        <v>11</v>
      </c>
      <c r="R52" s="344">
        <v>1</v>
      </c>
      <c r="S52" s="344"/>
      <c r="T52" s="472">
        <f>(Q52+M52)/16</f>
        <v>0.8125</v>
      </c>
      <c r="U52" s="354">
        <v>11</v>
      </c>
      <c r="V52" s="344">
        <v>1</v>
      </c>
      <c r="W52" s="344"/>
      <c r="X52" s="472">
        <v>1</v>
      </c>
      <c r="Y52" s="464">
        <f>AR53+AR54+AR58</f>
        <v>3</v>
      </c>
      <c r="Z52" s="343">
        <v>1</v>
      </c>
      <c r="AA52" s="344"/>
      <c r="AB52" s="344">
        <v>1</v>
      </c>
      <c r="AC52" s="408"/>
      <c r="AD52" s="483"/>
      <c r="AE52" s="408"/>
      <c r="AF52" s="51" t="s">
        <v>180</v>
      </c>
      <c r="AG52" s="51">
        <v>12</v>
      </c>
      <c r="AH52" s="106"/>
      <c r="AI52" s="167"/>
      <c r="AJ52" s="204"/>
      <c r="AK52" s="191" t="s">
        <v>501</v>
      </c>
      <c r="AL52" s="191">
        <v>10</v>
      </c>
      <c r="AM52" s="191">
        <v>10</v>
      </c>
      <c r="AN52" s="191"/>
      <c r="AO52" s="191"/>
      <c r="AP52" s="191"/>
      <c r="AQ52" s="191"/>
      <c r="AR52" s="191"/>
      <c r="AS52" s="191"/>
      <c r="AT52" s="51">
        <v>12</v>
      </c>
      <c r="AU52" s="254"/>
      <c r="AV52" s="408"/>
      <c r="AW52" s="52" t="s">
        <v>48</v>
      </c>
      <c r="AX52" s="53">
        <v>80000000</v>
      </c>
      <c r="AY52" s="411"/>
      <c r="AZ52" s="54" t="s">
        <v>170</v>
      </c>
      <c r="BA52" s="620"/>
      <c r="BB52" s="613"/>
      <c r="BC52" s="582"/>
      <c r="BD52" s="570"/>
      <c r="BE52" s="221" t="s">
        <v>340</v>
      </c>
      <c r="BF52" s="592"/>
      <c r="BG52" s="218"/>
      <c r="BI52" s="218"/>
    </row>
    <row r="53" spans="1:61" s="219" customFormat="1" ht="86.15" customHeight="1" x14ac:dyDescent="0.35">
      <c r="A53" s="326"/>
      <c r="B53" s="326"/>
      <c r="C53" s="408"/>
      <c r="D53" s="408"/>
      <c r="E53" s="408"/>
      <c r="F53" s="455"/>
      <c r="G53" s="408"/>
      <c r="H53" s="480"/>
      <c r="I53" s="408"/>
      <c r="J53" s="408"/>
      <c r="K53" s="480"/>
      <c r="L53" s="408"/>
      <c r="M53" s="486"/>
      <c r="N53" s="344"/>
      <c r="O53" s="344"/>
      <c r="P53" s="344"/>
      <c r="Q53" s="354"/>
      <c r="R53" s="344"/>
      <c r="S53" s="344"/>
      <c r="T53" s="472"/>
      <c r="U53" s="354"/>
      <c r="V53" s="344"/>
      <c r="W53" s="344"/>
      <c r="X53" s="472"/>
      <c r="Y53" s="464"/>
      <c r="Z53" s="344"/>
      <c r="AA53" s="344"/>
      <c r="AB53" s="344"/>
      <c r="AC53" s="408"/>
      <c r="AD53" s="483"/>
      <c r="AE53" s="408"/>
      <c r="AF53" s="51" t="s">
        <v>181</v>
      </c>
      <c r="AG53" s="51">
        <v>3</v>
      </c>
      <c r="AH53" s="106" t="s">
        <v>281</v>
      </c>
      <c r="AI53" s="167">
        <v>2</v>
      </c>
      <c r="AJ53" s="204" t="s">
        <v>302</v>
      </c>
      <c r="AK53" s="191"/>
      <c r="AL53" s="191">
        <v>0</v>
      </c>
      <c r="AM53" s="191"/>
      <c r="AN53" s="191"/>
      <c r="AO53" s="191"/>
      <c r="AP53" s="191"/>
      <c r="AQ53" s="191" t="s">
        <v>502</v>
      </c>
      <c r="AR53" s="191">
        <v>1</v>
      </c>
      <c r="AS53" s="191">
        <v>90</v>
      </c>
      <c r="AT53" s="51">
        <v>9</v>
      </c>
      <c r="AU53" s="254"/>
      <c r="AV53" s="408"/>
      <c r="AW53" s="52" t="s">
        <v>35</v>
      </c>
      <c r="AX53" s="53">
        <v>320000000</v>
      </c>
      <c r="AY53" s="411"/>
      <c r="AZ53" s="54" t="s">
        <v>182</v>
      </c>
      <c r="BA53" s="620"/>
      <c r="BB53" s="613"/>
      <c r="BC53" s="582"/>
      <c r="BD53" s="570"/>
      <c r="BE53" s="221" t="s">
        <v>295</v>
      </c>
      <c r="BF53" s="592"/>
      <c r="BG53" s="218"/>
      <c r="BI53" s="218"/>
    </row>
    <row r="54" spans="1:61" s="55" customFormat="1" ht="102" customHeight="1" x14ac:dyDescent="0.35">
      <c r="A54" s="326"/>
      <c r="B54" s="326"/>
      <c r="C54" s="408"/>
      <c r="D54" s="408"/>
      <c r="E54" s="408"/>
      <c r="F54" s="455"/>
      <c r="G54" s="408"/>
      <c r="H54" s="480"/>
      <c r="I54" s="408"/>
      <c r="J54" s="408"/>
      <c r="K54" s="480"/>
      <c r="L54" s="408"/>
      <c r="M54" s="486"/>
      <c r="N54" s="344"/>
      <c r="O54" s="344"/>
      <c r="P54" s="344"/>
      <c r="Q54" s="354"/>
      <c r="R54" s="344"/>
      <c r="S54" s="344"/>
      <c r="T54" s="472"/>
      <c r="U54" s="354"/>
      <c r="V54" s="344"/>
      <c r="W54" s="344"/>
      <c r="X54" s="472"/>
      <c r="Y54" s="464"/>
      <c r="Z54" s="344"/>
      <c r="AA54" s="344"/>
      <c r="AB54" s="344"/>
      <c r="AC54" s="408"/>
      <c r="AD54" s="483"/>
      <c r="AE54" s="408"/>
      <c r="AF54" s="51" t="s">
        <v>183</v>
      </c>
      <c r="AG54" s="51">
        <v>1</v>
      </c>
      <c r="AH54" s="106"/>
      <c r="AI54" s="167"/>
      <c r="AJ54" s="204"/>
      <c r="AK54" s="191"/>
      <c r="AL54" s="191">
        <v>0</v>
      </c>
      <c r="AM54" s="191"/>
      <c r="AN54" s="191"/>
      <c r="AO54" s="191"/>
      <c r="AP54" s="191"/>
      <c r="AQ54" s="191" t="s">
        <v>504</v>
      </c>
      <c r="AR54" s="191">
        <v>1</v>
      </c>
      <c r="AS54" s="191">
        <v>40</v>
      </c>
      <c r="AT54" s="51">
        <v>3</v>
      </c>
      <c r="AU54" s="176"/>
      <c r="AV54" s="408"/>
      <c r="AW54" s="52" t="s">
        <v>184</v>
      </c>
      <c r="AX54" s="53">
        <v>60000000</v>
      </c>
      <c r="AY54" s="411"/>
      <c r="AZ54" s="54" t="s">
        <v>185</v>
      </c>
      <c r="BA54" s="620"/>
      <c r="BB54" s="613"/>
      <c r="BC54" s="582"/>
      <c r="BD54" s="570"/>
      <c r="BE54" s="144"/>
      <c r="BF54" s="592"/>
      <c r="BG54" s="218"/>
      <c r="BI54" s="56"/>
    </row>
    <row r="55" spans="1:61" s="55" customFormat="1" ht="74.150000000000006" customHeight="1" x14ac:dyDescent="0.35">
      <c r="A55" s="326"/>
      <c r="B55" s="326"/>
      <c r="C55" s="408"/>
      <c r="D55" s="408"/>
      <c r="E55" s="408"/>
      <c r="F55" s="455"/>
      <c r="G55" s="408"/>
      <c r="H55" s="480"/>
      <c r="I55" s="408"/>
      <c r="J55" s="408"/>
      <c r="K55" s="480"/>
      <c r="L55" s="408"/>
      <c r="M55" s="486"/>
      <c r="N55" s="344"/>
      <c r="O55" s="344"/>
      <c r="P55" s="344"/>
      <c r="Q55" s="354"/>
      <c r="R55" s="344"/>
      <c r="S55" s="344"/>
      <c r="T55" s="472"/>
      <c r="U55" s="354"/>
      <c r="V55" s="344"/>
      <c r="W55" s="344"/>
      <c r="X55" s="472"/>
      <c r="Y55" s="464"/>
      <c r="Z55" s="344"/>
      <c r="AA55" s="344"/>
      <c r="AB55" s="344"/>
      <c r="AC55" s="408"/>
      <c r="AD55" s="483"/>
      <c r="AE55" s="408"/>
      <c r="AF55" s="51" t="s">
        <v>186</v>
      </c>
      <c r="AG55" s="51">
        <v>1</v>
      </c>
      <c r="AH55" s="106"/>
      <c r="AI55" s="167"/>
      <c r="AJ55" s="204"/>
      <c r="AK55" s="191"/>
      <c r="AL55" s="191">
        <v>0</v>
      </c>
      <c r="AM55" s="191"/>
      <c r="AN55" s="191"/>
      <c r="AO55" s="191"/>
      <c r="AP55" s="191"/>
      <c r="AQ55" s="191"/>
      <c r="AR55" s="191"/>
      <c r="AS55" s="191"/>
      <c r="AT55" s="51">
        <v>1</v>
      </c>
      <c r="AU55" s="176"/>
      <c r="AV55" s="408"/>
      <c r="AW55" s="52" t="s">
        <v>48</v>
      </c>
      <c r="AX55" s="53">
        <v>10000000</v>
      </c>
      <c r="AY55" s="411"/>
      <c r="AZ55" s="54" t="s">
        <v>170</v>
      </c>
      <c r="BA55" s="620"/>
      <c r="BB55" s="613"/>
      <c r="BC55" s="582"/>
      <c r="BD55" s="570"/>
      <c r="BE55" s="144"/>
      <c r="BF55" s="592"/>
      <c r="BG55" s="56"/>
      <c r="BI55" s="56"/>
    </row>
    <row r="56" spans="1:61" s="55" customFormat="1" ht="93" customHeight="1" x14ac:dyDescent="0.35">
      <c r="A56" s="326"/>
      <c r="B56" s="326"/>
      <c r="C56" s="408"/>
      <c r="D56" s="408"/>
      <c r="E56" s="408"/>
      <c r="F56" s="455"/>
      <c r="G56" s="408"/>
      <c r="H56" s="480"/>
      <c r="I56" s="408"/>
      <c r="J56" s="408"/>
      <c r="K56" s="480"/>
      <c r="L56" s="408"/>
      <c r="M56" s="486"/>
      <c r="N56" s="344"/>
      <c r="O56" s="344"/>
      <c r="P56" s="344"/>
      <c r="Q56" s="354"/>
      <c r="R56" s="344"/>
      <c r="S56" s="344"/>
      <c r="T56" s="472"/>
      <c r="U56" s="354"/>
      <c r="V56" s="344"/>
      <c r="W56" s="344"/>
      <c r="X56" s="472"/>
      <c r="Y56" s="464"/>
      <c r="Z56" s="344"/>
      <c r="AA56" s="344"/>
      <c r="AB56" s="344"/>
      <c r="AC56" s="408"/>
      <c r="AD56" s="483"/>
      <c r="AE56" s="408"/>
      <c r="AF56" s="51" t="s">
        <v>187</v>
      </c>
      <c r="AG56" s="51">
        <v>2</v>
      </c>
      <c r="AH56" s="106"/>
      <c r="AI56" s="167"/>
      <c r="AJ56" s="204"/>
      <c r="AK56" s="191"/>
      <c r="AL56" s="191">
        <v>0</v>
      </c>
      <c r="AM56" s="191"/>
      <c r="AN56" s="191"/>
      <c r="AO56" s="191"/>
      <c r="AP56" s="191"/>
      <c r="AQ56" s="191"/>
      <c r="AR56" s="191"/>
      <c r="AS56" s="191"/>
      <c r="AT56" s="51">
        <v>4</v>
      </c>
      <c r="AU56" s="254"/>
      <c r="AV56" s="408"/>
      <c r="AW56" s="52" t="s">
        <v>188</v>
      </c>
      <c r="AX56" s="53">
        <v>20000000</v>
      </c>
      <c r="AY56" s="411"/>
      <c r="AZ56" s="54" t="s">
        <v>189</v>
      </c>
      <c r="BA56" s="620"/>
      <c r="BB56" s="613"/>
      <c r="BC56" s="582"/>
      <c r="BD56" s="570"/>
      <c r="BE56" s="141"/>
      <c r="BF56" s="592"/>
      <c r="BG56" s="56"/>
      <c r="BI56" s="56"/>
    </row>
    <row r="57" spans="1:61" s="219" customFormat="1" ht="78" customHeight="1" x14ac:dyDescent="0.35">
      <c r="A57" s="326"/>
      <c r="B57" s="326"/>
      <c r="C57" s="408"/>
      <c r="D57" s="408"/>
      <c r="E57" s="408"/>
      <c r="F57" s="455"/>
      <c r="G57" s="408"/>
      <c r="H57" s="480"/>
      <c r="I57" s="408"/>
      <c r="J57" s="408"/>
      <c r="K57" s="480"/>
      <c r="L57" s="408"/>
      <c r="M57" s="486"/>
      <c r="N57" s="344"/>
      <c r="O57" s="344"/>
      <c r="P57" s="344"/>
      <c r="Q57" s="354"/>
      <c r="R57" s="344"/>
      <c r="S57" s="344"/>
      <c r="T57" s="472"/>
      <c r="U57" s="354"/>
      <c r="V57" s="344"/>
      <c r="W57" s="344"/>
      <c r="X57" s="472"/>
      <c r="Y57" s="464"/>
      <c r="Z57" s="344"/>
      <c r="AA57" s="344"/>
      <c r="AB57" s="344"/>
      <c r="AC57" s="408"/>
      <c r="AD57" s="483"/>
      <c r="AE57" s="408"/>
      <c r="AF57" s="51" t="s">
        <v>190</v>
      </c>
      <c r="AG57" s="51">
        <v>2</v>
      </c>
      <c r="AH57" s="106"/>
      <c r="AI57" s="167"/>
      <c r="AJ57" s="204"/>
      <c r="AK57" s="191" t="s">
        <v>315</v>
      </c>
      <c r="AL57" s="191">
        <v>1</v>
      </c>
      <c r="AM57" s="191"/>
      <c r="AN57" s="191"/>
      <c r="AO57" s="191"/>
      <c r="AP57" s="191"/>
      <c r="AQ57" s="191"/>
      <c r="AR57" s="191"/>
      <c r="AS57" s="191"/>
      <c r="AT57" s="51">
        <v>8</v>
      </c>
      <c r="AU57" s="254"/>
      <c r="AV57" s="408"/>
      <c r="AW57" s="52" t="s">
        <v>48</v>
      </c>
      <c r="AX57" s="53">
        <v>30000000</v>
      </c>
      <c r="AY57" s="411"/>
      <c r="AZ57" s="54" t="s">
        <v>170</v>
      </c>
      <c r="BA57" s="620"/>
      <c r="BB57" s="613"/>
      <c r="BC57" s="582"/>
      <c r="BD57" s="570"/>
      <c r="BE57" s="223"/>
      <c r="BF57" s="592"/>
      <c r="BG57" s="218"/>
      <c r="BI57" s="218"/>
    </row>
    <row r="58" spans="1:61" s="55" customFormat="1" ht="114" customHeight="1" x14ac:dyDescent="0.35">
      <c r="A58" s="326"/>
      <c r="B58" s="326"/>
      <c r="C58" s="408"/>
      <c r="D58" s="408"/>
      <c r="E58" s="408"/>
      <c r="F58" s="455"/>
      <c r="G58" s="408"/>
      <c r="H58" s="481"/>
      <c r="I58" s="409"/>
      <c r="J58" s="409"/>
      <c r="K58" s="481"/>
      <c r="L58" s="409"/>
      <c r="M58" s="487"/>
      <c r="N58" s="345"/>
      <c r="O58" s="344"/>
      <c r="P58" s="345"/>
      <c r="Q58" s="355"/>
      <c r="R58" s="345"/>
      <c r="S58" s="344"/>
      <c r="T58" s="472"/>
      <c r="U58" s="355"/>
      <c r="V58" s="345"/>
      <c r="W58" s="344"/>
      <c r="X58" s="472"/>
      <c r="Y58" s="465"/>
      <c r="Z58" s="345"/>
      <c r="AA58" s="344"/>
      <c r="AB58" s="345"/>
      <c r="AC58" s="409"/>
      <c r="AD58" s="484"/>
      <c r="AE58" s="409"/>
      <c r="AF58" s="51" t="s">
        <v>191</v>
      </c>
      <c r="AG58" s="51">
        <v>2</v>
      </c>
      <c r="AH58" s="106"/>
      <c r="AI58" s="167"/>
      <c r="AJ58" s="204"/>
      <c r="AK58" s="191" t="s">
        <v>350</v>
      </c>
      <c r="AL58" s="191">
        <v>1</v>
      </c>
      <c r="AM58" s="191">
        <v>2187</v>
      </c>
      <c r="AN58" s="191"/>
      <c r="AO58" s="191"/>
      <c r="AP58" s="191"/>
      <c r="AQ58" s="191" t="s">
        <v>508</v>
      </c>
      <c r="AR58" s="191">
        <v>1</v>
      </c>
      <c r="AS58" s="191" t="s">
        <v>509</v>
      </c>
      <c r="AT58" s="51">
        <v>4</v>
      </c>
      <c r="AU58" s="254"/>
      <c r="AV58" s="408"/>
      <c r="AW58" s="52" t="s">
        <v>188</v>
      </c>
      <c r="AX58" s="53">
        <v>70000000</v>
      </c>
      <c r="AY58" s="412"/>
      <c r="AZ58" s="54" t="s">
        <v>189</v>
      </c>
      <c r="BA58" s="620"/>
      <c r="BB58" s="613"/>
      <c r="BC58" s="582"/>
      <c r="BD58" s="570"/>
      <c r="BE58" s="145" t="s">
        <v>510</v>
      </c>
      <c r="BF58" s="592"/>
      <c r="BG58" s="56"/>
      <c r="BI58" s="56"/>
    </row>
    <row r="59" spans="1:61" s="219" customFormat="1" ht="84" customHeight="1" x14ac:dyDescent="0.35">
      <c r="A59" s="326"/>
      <c r="B59" s="326"/>
      <c r="C59" s="408"/>
      <c r="D59" s="408"/>
      <c r="E59" s="408"/>
      <c r="F59" s="455"/>
      <c r="G59" s="408"/>
      <c r="H59" s="398" t="s">
        <v>192</v>
      </c>
      <c r="I59" s="398" t="s">
        <v>50</v>
      </c>
      <c r="J59" s="398" t="s">
        <v>193</v>
      </c>
      <c r="K59" s="398" t="s">
        <v>194</v>
      </c>
      <c r="L59" s="398">
        <v>1</v>
      </c>
      <c r="M59" s="451">
        <v>0</v>
      </c>
      <c r="N59" s="366">
        <f>M59/L59</f>
        <v>0</v>
      </c>
      <c r="O59" s="344"/>
      <c r="P59" s="366">
        <f>M59/2</f>
        <v>0</v>
      </c>
      <c r="Q59" s="356">
        <v>2</v>
      </c>
      <c r="R59" s="366">
        <v>1</v>
      </c>
      <c r="S59" s="344"/>
      <c r="T59" s="366">
        <f>(Q59+M59)/2</f>
        <v>1</v>
      </c>
      <c r="U59" s="356">
        <v>1</v>
      </c>
      <c r="V59" s="366">
        <v>1</v>
      </c>
      <c r="W59" s="344"/>
      <c r="X59" s="366">
        <v>1</v>
      </c>
      <c r="Y59" s="466">
        <v>1</v>
      </c>
      <c r="Z59" s="366">
        <v>1</v>
      </c>
      <c r="AA59" s="344"/>
      <c r="AB59" s="366">
        <v>1</v>
      </c>
      <c r="AC59" s="398" t="s">
        <v>449</v>
      </c>
      <c r="AD59" s="372">
        <v>2021130010006</v>
      </c>
      <c r="AE59" s="398" t="s">
        <v>451</v>
      </c>
      <c r="AF59" s="57" t="s">
        <v>195</v>
      </c>
      <c r="AG59" s="58">
        <v>1</v>
      </c>
      <c r="AH59" s="224"/>
      <c r="AI59" s="225"/>
      <c r="AJ59" s="226"/>
      <c r="AK59" s="227" t="s">
        <v>333</v>
      </c>
      <c r="AL59" s="227">
        <v>1</v>
      </c>
      <c r="AM59" s="227">
        <v>1</v>
      </c>
      <c r="AN59" s="57" t="s">
        <v>410</v>
      </c>
      <c r="AO59" s="192">
        <v>1</v>
      </c>
      <c r="AP59" s="192">
        <f>70+165</f>
        <v>235</v>
      </c>
      <c r="AQ59" s="192"/>
      <c r="AR59" s="192"/>
      <c r="AS59" s="192"/>
      <c r="AT59" s="58">
        <v>1</v>
      </c>
      <c r="AU59" s="255"/>
      <c r="AV59" s="408"/>
      <c r="AW59" s="59" t="s">
        <v>35</v>
      </c>
      <c r="AX59" s="60">
        <v>60457249</v>
      </c>
      <c r="AY59" s="401" t="s">
        <v>196</v>
      </c>
      <c r="AZ59" s="61" t="s">
        <v>197</v>
      </c>
      <c r="BA59" s="620"/>
      <c r="BB59" s="613"/>
      <c r="BC59" s="582"/>
      <c r="BD59" s="570"/>
      <c r="BE59" s="147" t="s">
        <v>335</v>
      </c>
      <c r="BF59" s="593"/>
      <c r="BG59" s="218" t="s">
        <v>450</v>
      </c>
      <c r="BI59" s="218"/>
    </row>
    <row r="60" spans="1:61" s="62" customFormat="1" ht="65.150000000000006" customHeight="1" x14ac:dyDescent="0.35">
      <c r="A60" s="326"/>
      <c r="B60" s="326"/>
      <c r="C60" s="408"/>
      <c r="D60" s="408"/>
      <c r="E60" s="408"/>
      <c r="F60" s="455"/>
      <c r="G60" s="408"/>
      <c r="H60" s="399"/>
      <c r="I60" s="399"/>
      <c r="J60" s="399"/>
      <c r="K60" s="399"/>
      <c r="L60" s="399"/>
      <c r="M60" s="452"/>
      <c r="N60" s="367"/>
      <c r="O60" s="344"/>
      <c r="P60" s="367"/>
      <c r="Q60" s="357"/>
      <c r="R60" s="367"/>
      <c r="S60" s="344"/>
      <c r="T60" s="367"/>
      <c r="U60" s="357"/>
      <c r="V60" s="367"/>
      <c r="W60" s="344"/>
      <c r="X60" s="367"/>
      <c r="Y60" s="467"/>
      <c r="Z60" s="367"/>
      <c r="AA60" s="344"/>
      <c r="AB60" s="367"/>
      <c r="AC60" s="399"/>
      <c r="AD60" s="373"/>
      <c r="AE60" s="399"/>
      <c r="AF60" s="57" t="s">
        <v>198</v>
      </c>
      <c r="AG60" s="58">
        <v>1</v>
      </c>
      <c r="AH60" s="108"/>
      <c r="AI60" s="169"/>
      <c r="AJ60" s="205"/>
      <c r="AK60" s="192"/>
      <c r="AL60" s="192">
        <v>0</v>
      </c>
      <c r="AM60" s="192"/>
      <c r="AN60" s="192"/>
      <c r="AO60" s="192"/>
      <c r="AP60" s="192"/>
      <c r="AQ60" s="192"/>
      <c r="AR60" s="192"/>
      <c r="AS60" s="192"/>
      <c r="AT60" s="58">
        <v>1</v>
      </c>
      <c r="AU60" s="176"/>
      <c r="AV60" s="408"/>
      <c r="AW60" s="59" t="s">
        <v>199</v>
      </c>
      <c r="AX60" s="60">
        <v>45000000</v>
      </c>
      <c r="AY60" s="402"/>
      <c r="AZ60" s="61" t="s">
        <v>189</v>
      </c>
      <c r="BA60" s="620"/>
      <c r="BB60" s="613"/>
      <c r="BC60" s="582"/>
      <c r="BD60" s="570"/>
      <c r="BE60" s="146"/>
      <c r="BF60" s="593"/>
      <c r="BG60" s="63"/>
      <c r="BI60" s="63"/>
    </row>
    <row r="61" spans="1:61" s="62" customFormat="1" ht="135" customHeight="1" x14ac:dyDescent="0.35">
      <c r="A61" s="326"/>
      <c r="B61" s="326"/>
      <c r="C61" s="409"/>
      <c r="D61" s="409"/>
      <c r="E61" s="409"/>
      <c r="F61" s="456"/>
      <c r="G61" s="409"/>
      <c r="H61" s="400"/>
      <c r="I61" s="400"/>
      <c r="J61" s="400"/>
      <c r="K61" s="400"/>
      <c r="L61" s="400"/>
      <c r="M61" s="453"/>
      <c r="N61" s="368"/>
      <c r="O61" s="345"/>
      <c r="P61" s="368"/>
      <c r="Q61" s="358"/>
      <c r="R61" s="368"/>
      <c r="S61" s="345"/>
      <c r="T61" s="368"/>
      <c r="U61" s="358"/>
      <c r="V61" s="368"/>
      <c r="W61" s="345"/>
      <c r="X61" s="368"/>
      <c r="Y61" s="468"/>
      <c r="Z61" s="368"/>
      <c r="AA61" s="345"/>
      <c r="AB61" s="368"/>
      <c r="AC61" s="400"/>
      <c r="AD61" s="374"/>
      <c r="AE61" s="400"/>
      <c r="AF61" s="57" t="s">
        <v>200</v>
      </c>
      <c r="AG61" s="58">
        <v>2</v>
      </c>
      <c r="AH61" s="108"/>
      <c r="AI61" s="169"/>
      <c r="AJ61" s="205"/>
      <c r="AK61" s="192" t="s">
        <v>334</v>
      </c>
      <c r="AL61" s="192">
        <v>1</v>
      </c>
      <c r="AM61" s="192">
        <v>1</v>
      </c>
      <c r="AN61" s="57" t="s">
        <v>411</v>
      </c>
      <c r="AO61" s="192">
        <v>2</v>
      </c>
      <c r="AP61" s="192">
        <f>204+383+65</f>
        <v>652</v>
      </c>
      <c r="AQ61" s="192"/>
      <c r="AR61" s="192"/>
      <c r="AS61" s="192"/>
      <c r="AT61" s="58">
        <v>2</v>
      </c>
      <c r="AU61" s="176"/>
      <c r="AV61" s="409"/>
      <c r="AW61" s="59" t="s">
        <v>48</v>
      </c>
      <c r="AX61" s="60">
        <v>100000000</v>
      </c>
      <c r="AY61" s="403"/>
      <c r="AZ61" s="61" t="s">
        <v>189</v>
      </c>
      <c r="BA61" s="621"/>
      <c r="BB61" s="613"/>
      <c r="BC61" s="583"/>
      <c r="BD61" s="571"/>
      <c r="BE61" s="147" t="s">
        <v>412</v>
      </c>
      <c r="BF61" s="593"/>
      <c r="BG61" s="63"/>
      <c r="BI61" s="63"/>
    </row>
    <row r="62" spans="1:61" s="219" customFormat="1" ht="118" customHeight="1" x14ac:dyDescent="0.35">
      <c r="A62" s="326"/>
      <c r="B62" s="326"/>
      <c r="C62" s="375" t="s">
        <v>201</v>
      </c>
      <c r="D62" s="375" t="s">
        <v>202</v>
      </c>
      <c r="E62" s="375" t="s">
        <v>203</v>
      </c>
      <c r="F62" s="457">
        <f>(((M68+Q68)/127)+((M70+Q70)/1767))/2</f>
        <v>0.70257877357859977</v>
      </c>
      <c r="G62" s="375" t="s">
        <v>204</v>
      </c>
      <c r="H62" s="375" t="s">
        <v>205</v>
      </c>
      <c r="I62" s="375" t="s">
        <v>206</v>
      </c>
      <c r="J62" s="375" t="s">
        <v>207</v>
      </c>
      <c r="K62" s="375" t="s">
        <v>208</v>
      </c>
      <c r="L62" s="375">
        <v>9</v>
      </c>
      <c r="M62" s="439">
        <v>0</v>
      </c>
      <c r="N62" s="346">
        <f>M62/L62</f>
        <v>0</v>
      </c>
      <c r="O62" s="346">
        <f>(N62+N64+N68+N70)/4</f>
        <v>0.2927927927927928</v>
      </c>
      <c r="P62" s="346">
        <f>M62/30</f>
        <v>0</v>
      </c>
      <c r="Q62" s="359">
        <v>4</v>
      </c>
      <c r="R62" s="281">
        <f>Q62/L62</f>
        <v>0.44444444444444442</v>
      </c>
      <c r="S62" s="346">
        <f>(R62+R64+R68+R70)/4</f>
        <v>0.86111111111111116</v>
      </c>
      <c r="T62" s="346">
        <f>(Q62+M62)/30</f>
        <v>0.13333333333333333</v>
      </c>
      <c r="U62" s="460">
        <f>AO62+AO63</f>
        <v>4</v>
      </c>
      <c r="V62" s="281">
        <f>(M62+Q62+U62)/L62</f>
        <v>0.88888888888888884</v>
      </c>
      <c r="W62" s="346">
        <f>(V62+V64+V68+V70)/4</f>
        <v>0.97222222222222221</v>
      </c>
      <c r="X62" s="346">
        <f>(M62+Q62+U62)/30</f>
        <v>0.26666666666666666</v>
      </c>
      <c r="Y62" s="610">
        <f>AR62+AR63</f>
        <v>4</v>
      </c>
      <c r="Z62" s="281">
        <v>1</v>
      </c>
      <c r="AA62" s="281">
        <v>1</v>
      </c>
      <c r="AB62" s="281">
        <f>(Y62+U62+Q62+M62)/30</f>
        <v>0.4</v>
      </c>
      <c r="AC62" s="375" t="s">
        <v>209</v>
      </c>
      <c r="AD62" s="427">
        <v>2020130010213</v>
      </c>
      <c r="AE62" s="375" t="s">
        <v>459</v>
      </c>
      <c r="AF62" s="65" t="s">
        <v>210</v>
      </c>
      <c r="AG62" s="65">
        <v>6</v>
      </c>
      <c r="AH62" s="109"/>
      <c r="AI62" s="170"/>
      <c r="AJ62" s="190"/>
      <c r="AK62" s="187" t="s">
        <v>331</v>
      </c>
      <c r="AL62" s="187">
        <v>4</v>
      </c>
      <c r="AM62" s="187"/>
      <c r="AN62" s="65" t="s">
        <v>416</v>
      </c>
      <c r="AO62" s="187">
        <v>4</v>
      </c>
      <c r="AP62" s="187">
        <v>40</v>
      </c>
      <c r="AQ62" s="187" t="s">
        <v>513</v>
      </c>
      <c r="AR62" s="187">
        <v>2</v>
      </c>
      <c r="AS62" s="187" t="s">
        <v>514</v>
      </c>
      <c r="AT62" s="65">
        <v>23</v>
      </c>
      <c r="AU62" s="254"/>
      <c r="AV62" s="444" t="s">
        <v>72</v>
      </c>
      <c r="AW62" s="66" t="s">
        <v>35</v>
      </c>
      <c r="AX62" s="67">
        <v>55000000</v>
      </c>
      <c r="AY62" s="605" t="s">
        <v>211</v>
      </c>
      <c r="AZ62" s="68" t="s">
        <v>212</v>
      </c>
      <c r="BA62" s="622">
        <f>SUM(AX62:AX72)</f>
        <v>3017000000</v>
      </c>
      <c r="BB62" s="616">
        <v>1231519366.24</v>
      </c>
      <c r="BC62" s="584">
        <v>1048388622.74</v>
      </c>
      <c r="BD62" s="572">
        <f>BC62/BB62</f>
        <v>0.85129690322359797</v>
      </c>
      <c r="BE62" s="148" t="s">
        <v>417</v>
      </c>
      <c r="BF62" s="186"/>
      <c r="BG62" s="218" t="s">
        <v>460</v>
      </c>
      <c r="BI62" s="218"/>
    </row>
    <row r="63" spans="1:61" s="69" customFormat="1" ht="77.150000000000006" customHeight="1" x14ac:dyDescent="0.35">
      <c r="A63" s="326"/>
      <c r="B63" s="326"/>
      <c r="C63" s="376"/>
      <c r="D63" s="376"/>
      <c r="E63" s="376"/>
      <c r="F63" s="458"/>
      <c r="G63" s="376"/>
      <c r="H63" s="377"/>
      <c r="I63" s="377"/>
      <c r="J63" s="377"/>
      <c r="K63" s="377"/>
      <c r="L63" s="377"/>
      <c r="M63" s="440"/>
      <c r="N63" s="348"/>
      <c r="O63" s="347"/>
      <c r="P63" s="348"/>
      <c r="Q63" s="360"/>
      <c r="R63" s="281"/>
      <c r="S63" s="347"/>
      <c r="T63" s="348"/>
      <c r="U63" s="460"/>
      <c r="V63" s="281"/>
      <c r="W63" s="347"/>
      <c r="X63" s="348"/>
      <c r="Y63" s="610"/>
      <c r="Z63" s="281"/>
      <c r="AA63" s="281"/>
      <c r="AB63" s="281"/>
      <c r="AC63" s="376"/>
      <c r="AD63" s="428"/>
      <c r="AE63" s="376"/>
      <c r="AF63" s="65" t="s">
        <v>213</v>
      </c>
      <c r="AG63" s="65">
        <v>2</v>
      </c>
      <c r="AH63" s="109"/>
      <c r="AI63" s="170"/>
      <c r="AJ63" s="190"/>
      <c r="AK63" s="187"/>
      <c r="AL63" s="187">
        <v>0</v>
      </c>
      <c r="AM63" s="187"/>
      <c r="AN63" s="187"/>
      <c r="AO63" s="187"/>
      <c r="AP63" s="187"/>
      <c r="AQ63" s="187" t="s">
        <v>515</v>
      </c>
      <c r="AR63" s="187">
        <v>2</v>
      </c>
      <c r="AS63" s="187">
        <v>2</v>
      </c>
      <c r="AT63" s="65">
        <v>7</v>
      </c>
      <c r="AU63" s="254"/>
      <c r="AV63" s="445"/>
      <c r="AW63" s="66" t="s">
        <v>35</v>
      </c>
      <c r="AX63" s="67">
        <v>32000000</v>
      </c>
      <c r="AY63" s="606"/>
      <c r="AZ63" s="68" t="s">
        <v>212</v>
      </c>
      <c r="BA63" s="623"/>
      <c r="BB63" s="617"/>
      <c r="BC63" s="585"/>
      <c r="BD63" s="573"/>
      <c r="BE63" s="148"/>
      <c r="BF63" s="186" t="s">
        <v>332</v>
      </c>
      <c r="BG63" s="70"/>
      <c r="BI63" s="70"/>
    </row>
    <row r="64" spans="1:61" s="219" customFormat="1" ht="44.15" customHeight="1" x14ac:dyDescent="0.35">
      <c r="A64" s="326"/>
      <c r="B64" s="326"/>
      <c r="C64" s="376"/>
      <c r="D64" s="376"/>
      <c r="E64" s="376"/>
      <c r="F64" s="458"/>
      <c r="G64" s="376"/>
      <c r="H64" s="436" t="s">
        <v>214</v>
      </c>
      <c r="I64" s="375" t="s">
        <v>215</v>
      </c>
      <c r="J64" s="375" t="s">
        <v>216</v>
      </c>
      <c r="K64" s="436" t="s">
        <v>217</v>
      </c>
      <c r="L64" s="375">
        <v>10</v>
      </c>
      <c r="M64" s="439">
        <v>5</v>
      </c>
      <c r="N64" s="430">
        <f>M64/L64</f>
        <v>0.5</v>
      </c>
      <c r="O64" s="347"/>
      <c r="P64" s="430">
        <f>M64/36</f>
        <v>0.1388888888888889</v>
      </c>
      <c r="Q64" s="361">
        <v>8</v>
      </c>
      <c r="R64" s="369">
        <v>1</v>
      </c>
      <c r="S64" s="347"/>
      <c r="T64" s="369">
        <f>(Q64+M64)/36</f>
        <v>0.3611111111111111</v>
      </c>
      <c r="U64" s="361">
        <f>AO64+AO65+AO66+AO67</f>
        <v>2</v>
      </c>
      <c r="V64" s="369">
        <v>1</v>
      </c>
      <c r="W64" s="347"/>
      <c r="X64" s="369">
        <f>(M64+Q64+U64)/36</f>
        <v>0.41666666666666669</v>
      </c>
      <c r="Y64" s="611">
        <f>AR65+AR66</f>
        <v>2</v>
      </c>
      <c r="Z64" s="282">
        <v>1</v>
      </c>
      <c r="AA64" s="281"/>
      <c r="AB64" s="282">
        <f>(Y64+U64+Q64+M64)/36</f>
        <v>0.47222222222222221</v>
      </c>
      <c r="AC64" s="376"/>
      <c r="AD64" s="428"/>
      <c r="AE64" s="376"/>
      <c r="AF64" s="65" t="s">
        <v>218</v>
      </c>
      <c r="AG64" s="65">
        <v>5</v>
      </c>
      <c r="AH64" s="109" t="s">
        <v>282</v>
      </c>
      <c r="AI64" s="170">
        <v>5</v>
      </c>
      <c r="AJ64" s="190">
        <v>5</v>
      </c>
      <c r="AK64" s="187" t="s">
        <v>330</v>
      </c>
      <c r="AL64" s="187">
        <v>5</v>
      </c>
      <c r="AM64" s="187">
        <v>5</v>
      </c>
      <c r="AN64" s="187"/>
      <c r="AO64" s="187"/>
      <c r="AP64" s="187"/>
      <c r="AQ64" s="187"/>
      <c r="AR64" s="187"/>
      <c r="AS64" s="187"/>
      <c r="AT64" s="65">
        <v>15</v>
      </c>
      <c r="AU64" s="254"/>
      <c r="AV64" s="445"/>
      <c r="AW64" s="66" t="s">
        <v>199</v>
      </c>
      <c r="AX64" s="67">
        <v>120000000</v>
      </c>
      <c r="AY64" s="606"/>
      <c r="AZ64" s="68" t="s">
        <v>219</v>
      </c>
      <c r="BA64" s="623"/>
      <c r="BB64" s="617"/>
      <c r="BC64" s="585"/>
      <c r="BD64" s="573"/>
      <c r="BE64" s="229" t="s">
        <v>329</v>
      </c>
      <c r="BF64" s="594"/>
      <c r="BG64" s="218"/>
      <c r="BI64" s="218"/>
    </row>
    <row r="65" spans="1:61" s="69" customFormat="1" ht="128.15" customHeight="1" x14ac:dyDescent="0.35">
      <c r="A65" s="326"/>
      <c r="B65" s="326"/>
      <c r="C65" s="376"/>
      <c r="D65" s="376"/>
      <c r="E65" s="376"/>
      <c r="F65" s="458"/>
      <c r="G65" s="376"/>
      <c r="H65" s="437"/>
      <c r="I65" s="376"/>
      <c r="J65" s="376"/>
      <c r="K65" s="437"/>
      <c r="L65" s="376"/>
      <c r="M65" s="441"/>
      <c r="N65" s="369"/>
      <c r="O65" s="347"/>
      <c r="P65" s="369"/>
      <c r="Q65" s="361"/>
      <c r="R65" s="369"/>
      <c r="S65" s="347"/>
      <c r="T65" s="369"/>
      <c r="U65" s="361"/>
      <c r="V65" s="369"/>
      <c r="W65" s="347"/>
      <c r="X65" s="369"/>
      <c r="Y65" s="611"/>
      <c r="Z65" s="282"/>
      <c r="AA65" s="281"/>
      <c r="AB65" s="282"/>
      <c r="AC65" s="376"/>
      <c r="AD65" s="428"/>
      <c r="AE65" s="376"/>
      <c r="AF65" s="64" t="s">
        <v>220</v>
      </c>
      <c r="AG65" s="65">
        <v>2</v>
      </c>
      <c r="AH65" s="109"/>
      <c r="AI65" s="170"/>
      <c r="AJ65" s="126"/>
      <c r="AK65" s="187" t="s">
        <v>328</v>
      </c>
      <c r="AL65" s="187">
        <v>2</v>
      </c>
      <c r="AM65" s="187">
        <v>2</v>
      </c>
      <c r="AN65" s="65" t="s">
        <v>419</v>
      </c>
      <c r="AO65" s="187">
        <v>1</v>
      </c>
      <c r="AP65" s="187">
        <v>1</v>
      </c>
      <c r="AQ65" s="187" t="s">
        <v>512</v>
      </c>
      <c r="AR65" s="187">
        <v>1</v>
      </c>
      <c r="AS65" s="187">
        <v>1</v>
      </c>
      <c r="AT65" s="65">
        <v>4</v>
      </c>
      <c r="AU65" s="176"/>
      <c r="AV65" s="445"/>
      <c r="AW65" s="66" t="s">
        <v>59</v>
      </c>
      <c r="AX65" s="67">
        <f>60000000+[1]Hoja1!K10</f>
        <v>218700000</v>
      </c>
      <c r="AY65" s="606"/>
      <c r="AZ65" s="68" t="s">
        <v>221</v>
      </c>
      <c r="BA65" s="623"/>
      <c r="BB65" s="617"/>
      <c r="BC65" s="585"/>
      <c r="BD65" s="573"/>
      <c r="BE65" s="185" t="s">
        <v>511</v>
      </c>
      <c r="BF65" s="594"/>
      <c r="BG65" s="70" t="s">
        <v>461</v>
      </c>
      <c r="BI65" s="70"/>
    </row>
    <row r="66" spans="1:61" s="69" customFormat="1" ht="63" customHeight="1" x14ac:dyDescent="0.35">
      <c r="A66" s="326"/>
      <c r="B66" s="326"/>
      <c r="C66" s="376"/>
      <c r="D66" s="376"/>
      <c r="E66" s="376"/>
      <c r="F66" s="458"/>
      <c r="G66" s="376"/>
      <c r="H66" s="437"/>
      <c r="I66" s="376"/>
      <c r="J66" s="376"/>
      <c r="K66" s="437"/>
      <c r="L66" s="376"/>
      <c r="M66" s="441"/>
      <c r="N66" s="369"/>
      <c r="O66" s="347"/>
      <c r="P66" s="369"/>
      <c r="Q66" s="361"/>
      <c r="R66" s="369"/>
      <c r="S66" s="347"/>
      <c r="T66" s="369"/>
      <c r="U66" s="361"/>
      <c r="V66" s="369"/>
      <c r="W66" s="347"/>
      <c r="X66" s="369"/>
      <c r="Y66" s="611"/>
      <c r="Z66" s="282"/>
      <c r="AA66" s="281"/>
      <c r="AB66" s="282"/>
      <c r="AC66" s="376"/>
      <c r="AD66" s="428"/>
      <c r="AE66" s="376"/>
      <c r="AF66" s="65" t="s">
        <v>222</v>
      </c>
      <c r="AG66" s="65">
        <v>4</v>
      </c>
      <c r="AH66" s="109"/>
      <c r="AI66" s="170"/>
      <c r="AJ66" s="190"/>
      <c r="AK66" s="187"/>
      <c r="AL66" s="187">
        <v>0</v>
      </c>
      <c r="AM66" s="187"/>
      <c r="AN66" s="187"/>
      <c r="AO66" s="187"/>
      <c r="AP66" s="187"/>
      <c r="AQ66" s="187" t="s">
        <v>517</v>
      </c>
      <c r="AR66" s="187">
        <v>1</v>
      </c>
      <c r="AS66" s="187" t="s">
        <v>518</v>
      </c>
      <c r="AT66" s="65">
        <v>10</v>
      </c>
      <c r="AU66" s="176"/>
      <c r="AV66" s="445"/>
      <c r="AW66" s="66" t="s">
        <v>59</v>
      </c>
      <c r="AX66" s="67">
        <v>60000000</v>
      </c>
      <c r="AY66" s="606"/>
      <c r="AZ66" s="71" t="s">
        <v>221</v>
      </c>
      <c r="BA66" s="623"/>
      <c r="BB66" s="617"/>
      <c r="BC66" s="585"/>
      <c r="BD66" s="573"/>
      <c r="BE66" s="149"/>
      <c r="BF66" s="594"/>
      <c r="BG66" s="70"/>
      <c r="BI66" s="70"/>
    </row>
    <row r="67" spans="1:61" s="69" customFormat="1" ht="60" customHeight="1" x14ac:dyDescent="0.35">
      <c r="A67" s="326"/>
      <c r="B67" s="326"/>
      <c r="C67" s="376"/>
      <c r="D67" s="376"/>
      <c r="E67" s="376"/>
      <c r="F67" s="458"/>
      <c r="G67" s="376"/>
      <c r="H67" s="438"/>
      <c r="I67" s="377"/>
      <c r="J67" s="377"/>
      <c r="K67" s="438"/>
      <c r="L67" s="377"/>
      <c r="M67" s="440"/>
      <c r="N67" s="370"/>
      <c r="O67" s="347"/>
      <c r="P67" s="370"/>
      <c r="Q67" s="362"/>
      <c r="R67" s="370"/>
      <c r="S67" s="347"/>
      <c r="T67" s="370"/>
      <c r="U67" s="362"/>
      <c r="V67" s="370"/>
      <c r="W67" s="347"/>
      <c r="X67" s="370"/>
      <c r="Y67" s="611"/>
      <c r="Z67" s="282"/>
      <c r="AA67" s="281"/>
      <c r="AB67" s="282"/>
      <c r="AC67" s="377"/>
      <c r="AD67" s="429"/>
      <c r="AE67" s="377"/>
      <c r="AF67" s="64" t="s">
        <v>223</v>
      </c>
      <c r="AG67" s="65">
        <v>1</v>
      </c>
      <c r="AH67" s="109"/>
      <c r="AI67" s="170"/>
      <c r="AJ67" s="126"/>
      <c r="AK67" s="187" t="s">
        <v>326</v>
      </c>
      <c r="AL67" s="187">
        <v>1</v>
      </c>
      <c r="AM67" s="187">
        <v>1</v>
      </c>
      <c r="AN67" s="65" t="s">
        <v>418</v>
      </c>
      <c r="AO67" s="187">
        <v>1</v>
      </c>
      <c r="AP67" s="187">
        <v>1</v>
      </c>
      <c r="AQ67" s="187" t="s">
        <v>516</v>
      </c>
      <c r="AR67" s="187"/>
      <c r="AS67" s="187" t="s">
        <v>223</v>
      </c>
      <c r="AT67" s="65">
        <v>1</v>
      </c>
      <c r="AU67" s="176"/>
      <c r="AV67" s="445"/>
      <c r="AW67" s="66" t="s">
        <v>48</v>
      </c>
      <c r="AX67" s="67">
        <v>22800000</v>
      </c>
      <c r="AY67" s="607"/>
      <c r="AZ67" s="71" t="s">
        <v>224</v>
      </c>
      <c r="BA67" s="623"/>
      <c r="BB67" s="617"/>
      <c r="BC67" s="585"/>
      <c r="BD67" s="573"/>
      <c r="BE67" s="185" t="s">
        <v>327</v>
      </c>
      <c r="BF67" s="594"/>
      <c r="BG67" s="70"/>
      <c r="BI67" s="70"/>
    </row>
    <row r="68" spans="1:61" s="77" customFormat="1" ht="84" customHeight="1" x14ac:dyDescent="0.35">
      <c r="A68" s="326"/>
      <c r="B68" s="326"/>
      <c r="C68" s="376"/>
      <c r="D68" s="376"/>
      <c r="E68" s="376"/>
      <c r="F68" s="458"/>
      <c r="G68" s="376"/>
      <c r="H68" s="442" t="s">
        <v>225</v>
      </c>
      <c r="I68" s="442" t="s">
        <v>226</v>
      </c>
      <c r="J68" s="444" t="s">
        <v>227</v>
      </c>
      <c r="K68" s="442" t="s">
        <v>228</v>
      </c>
      <c r="L68" s="444">
        <v>36</v>
      </c>
      <c r="M68" s="448">
        <v>6</v>
      </c>
      <c r="N68" s="287">
        <f>M68/L68</f>
        <v>0.16666666666666666</v>
      </c>
      <c r="O68" s="347"/>
      <c r="P68" s="287">
        <f>M68/127</f>
        <v>4.7244094488188976E-2</v>
      </c>
      <c r="Q68" s="363">
        <v>122</v>
      </c>
      <c r="R68" s="371">
        <v>1</v>
      </c>
      <c r="S68" s="347"/>
      <c r="T68" s="371">
        <v>1</v>
      </c>
      <c r="U68" s="363">
        <f>AO68+AO69</f>
        <v>18</v>
      </c>
      <c r="V68" s="371">
        <v>1</v>
      </c>
      <c r="W68" s="347"/>
      <c r="X68" s="371"/>
      <c r="Y68" s="285">
        <f>AL68+AL69</f>
        <v>122</v>
      </c>
      <c r="Z68" s="287">
        <v>1</v>
      </c>
      <c r="AA68" s="281"/>
      <c r="AB68" s="371">
        <v>1</v>
      </c>
      <c r="AC68" s="444" t="s">
        <v>452</v>
      </c>
      <c r="AD68" s="461">
        <v>2021130010265</v>
      </c>
      <c r="AE68" s="444" t="s">
        <v>458</v>
      </c>
      <c r="AF68" s="72" t="s">
        <v>229</v>
      </c>
      <c r="AG68" s="73">
        <v>1</v>
      </c>
      <c r="AH68" s="110"/>
      <c r="AI68" s="171"/>
      <c r="AJ68" s="127"/>
      <c r="AK68" s="188"/>
      <c r="AL68" s="188">
        <v>0</v>
      </c>
      <c r="AM68" s="188"/>
      <c r="AN68" s="188"/>
      <c r="AO68" s="188">
        <v>0</v>
      </c>
      <c r="AP68" s="188"/>
      <c r="AQ68" s="188" t="s">
        <v>519</v>
      </c>
      <c r="AR68" s="188">
        <v>2</v>
      </c>
      <c r="AS68" s="188">
        <v>2</v>
      </c>
      <c r="AT68" s="73">
        <v>1</v>
      </c>
      <c r="AU68" s="176"/>
      <c r="AV68" s="445"/>
      <c r="AW68" s="74" t="s">
        <v>199</v>
      </c>
      <c r="AX68" s="75">
        <v>20000000</v>
      </c>
      <c r="AY68" s="626" t="s">
        <v>43</v>
      </c>
      <c r="AZ68" s="76" t="s">
        <v>230</v>
      </c>
      <c r="BA68" s="623"/>
      <c r="BB68" s="617"/>
      <c r="BC68" s="585"/>
      <c r="BD68" s="573"/>
      <c r="BE68" s="150"/>
      <c r="BF68" s="184" t="s">
        <v>325</v>
      </c>
      <c r="BG68" s="78" t="s">
        <v>455</v>
      </c>
      <c r="BH68" s="77" t="s">
        <v>453</v>
      </c>
      <c r="BI68" s="78"/>
    </row>
    <row r="69" spans="1:61" s="219" customFormat="1" ht="61" customHeight="1" x14ac:dyDescent="0.35">
      <c r="A69" s="326"/>
      <c r="B69" s="326"/>
      <c r="C69" s="376"/>
      <c r="D69" s="376"/>
      <c r="E69" s="376"/>
      <c r="F69" s="458"/>
      <c r="G69" s="376"/>
      <c r="H69" s="446"/>
      <c r="I69" s="446"/>
      <c r="J69" s="447"/>
      <c r="K69" s="446"/>
      <c r="L69" s="447"/>
      <c r="M69" s="449"/>
      <c r="N69" s="288"/>
      <c r="O69" s="347"/>
      <c r="P69" s="288"/>
      <c r="Q69" s="363"/>
      <c r="R69" s="371"/>
      <c r="S69" s="347"/>
      <c r="T69" s="371"/>
      <c r="U69" s="363"/>
      <c r="V69" s="371"/>
      <c r="W69" s="347"/>
      <c r="X69" s="371"/>
      <c r="Y69" s="286"/>
      <c r="Z69" s="288"/>
      <c r="AA69" s="281"/>
      <c r="AB69" s="371"/>
      <c r="AC69" s="445"/>
      <c r="AD69" s="462"/>
      <c r="AE69" s="445"/>
      <c r="AF69" s="262" t="s">
        <v>456</v>
      </c>
      <c r="AG69" s="73">
        <v>40</v>
      </c>
      <c r="AH69" s="110" t="s">
        <v>283</v>
      </c>
      <c r="AI69" s="171">
        <v>6</v>
      </c>
      <c r="AJ69" s="127">
        <v>6</v>
      </c>
      <c r="AK69" s="188" t="s">
        <v>324</v>
      </c>
      <c r="AL69" s="188">
        <v>122</v>
      </c>
      <c r="AM69" s="188">
        <f>AL69</f>
        <v>122</v>
      </c>
      <c r="AN69" s="188" t="s">
        <v>422</v>
      </c>
      <c r="AO69" s="188">
        <v>18</v>
      </c>
      <c r="AP69" s="188">
        <v>18</v>
      </c>
      <c r="AQ69" s="188" t="s">
        <v>544</v>
      </c>
      <c r="AR69" s="188">
        <v>21</v>
      </c>
      <c r="AS69" s="188">
        <v>21</v>
      </c>
      <c r="AT69" s="73">
        <v>127</v>
      </c>
      <c r="AU69" s="254"/>
      <c r="AV69" s="445"/>
      <c r="AW69" s="74" t="s">
        <v>231</v>
      </c>
      <c r="AX69" s="75">
        <f>140000000+1628611013+271388987</f>
        <v>2040000000</v>
      </c>
      <c r="AY69" s="627"/>
      <c r="AZ69" s="76" t="s">
        <v>232</v>
      </c>
      <c r="BA69" s="623"/>
      <c r="BB69" s="617"/>
      <c r="BC69" s="585"/>
      <c r="BD69" s="573"/>
      <c r="BE69" s="230" t="s">
        <v>296</v>
      </c>
      <c r="BF69" s="222"/>
      <c r="BG69" s="218"/>
      <c r="BI69" s="218"/>
    </row>
    <row r="70" spans="1:61" s="77" customFormat="1" ht="63" customHeight="1" x14ac:dyDescent="0.35">
      <c r="A70" s="326"/>
      <c r="B70" s="326"/>
      <c r="C70" s="376"/>
      <c r="D70" s="376"/>
      <c r="E70" s="376"/>
      <c r="F70" s="458"/>
      <c r="G70" s="376"/>
      <c r="H70" s="442" t="s">
        <v>233</v>
      </c>
      <c r="I70" s="442" t="s">
        <v>234</v>
      </c>
      <c r="J70" s="444" t="s">
        <v>235</v>
      </c>
      <c r="K70" s="442" t="s">
        <v>236</v>
      </c>
      <c r="L70" s="444">
        <v>555</v>
      </c>
      <c r="M70" s="448">
        <v>280</v>
      </c>
      <c r="N70" s="287">
        <f>M70/L70</f>
        <v>0.50450450450450446</v>
      </c>
      <c r="O70" s="347"/>
      <c r="P70" s="290">
        <f>M70/1767</f>
        <v>0.15846066779852858</v>
      </c>
      <c r="Q70" s="364">
        <v>422</v>
      </c>
      <c r="R70" s="290">
        <v>1</v>
      </c>
      <c r="S70" s="347"/>
      <c r="T70" s="287">
        <f>(Q70+M70)/1767</f>
        <v>0.39728353140916806</v>
      </c>
      <c r="U70" s="364">
        <v>422</v>
      </c>
      <c r="V70" s="290">
        <v>1</v>
      </c>
      <c r="W70" s="347"/>
      <c r="X70" s="287">
        <f>(M70+Q70+U70)/1767</f>
        <v>0.63610639501980759</v>
      </c>
      <c r="Y70" s="285">
        <f>AL70+AL72</f>
        <v>422</v>
      </c>
      <c r="Z70" s="287">
        <v>1</v>
      </c>
      <c r="AA70" s="281"/>
      <c r="AB70" s="371">
        <f>(Y70+U70+Q70+M70)/1767</f>
        <v>0.87492925863044713</v>
      </c>
      <c r="AC70" s="445"/>
      <c r="AD70" s="462"/>
      <c r="AE70" s="445"/>
      <c r="AF70" s="262" t="s">
        <v>457</v>
      </c>
      <c r="AG70" s="73">
        <v>742</v>
      </c>
      <c r="AH70" s="110" t="s">
        <v>284</v>
      </c>
      <c r="AI70" s="171">
        <v>280</v>
      </c>
      <c r="AJ70" s="127">
        <v>280</v>
      </c>
      <c r="AK70" s="188" t="s">
        <v>321</v>
      </c>
      <c r="AL70" s="188">
        <v>420</v>
      </c>
      <c r="AM70" s="188">
        <f>AL70+AG70</f>
        <v>1162</v>
      </c>
      <c r="AN70" s="188" t="s">
        <v>423</v>
      </c>
      <c r="AO70" s="188">
        <v>230</v>
      </c>
      <c r="AP70" s="188">
        <v>230</v>
      </c>
      <c r="AQ70" s="188" t="s">
        <v>423</v>
      </c>
      <c r="AR70" s="188">
        <v>430</v>
      </c>
      <c r="AS70" s="188">
        <v>430</v>
      </c>
      <c r="AT70" s="73">
        <v>1742</v>
      </c>
      <c r="AU70" s="176"/>
      <c r="AV70" s="445"/>
      <c r="AW70" s="74" t="s">
        <v>237</v>
      </c>
      <c r="AX70" s="75">
        <f>240000000+[1]Hoja1!K11</f>
        <v>398700000</v>
      </c>
      <c r="AY70" s="627"/>
      <c r="AZ70" s="76" t="s">
        <v>238</v>
      </c>
      <c r="BA70" s="623"/>
      <c r="BB70" s="617"/>
      <c r="BC70" s="585"/>
      <c r="BD70" s="573"/>
      <c r="BE70" s="151" t="s">
        <v>320</v>
      </c>
      <c r="BF70" s="184"/>
      <c r="BG70" s="78"/>
      <c r="BI70" s="78"/>
    </row>
    <row r="71" spans="1:61" s="77" customFormat="1" ht="76" customHeight="1" x14ac:dyDescent="0.35">
      <c r="A71" s="326"/>
      <c r="B71" s="326"/>
      <c r="C71" s="376"/>
      <c r="D71" s="376"/>
      <c r="E71" s="376"/>
      <c r="F71" s="458"/>
      <c r="G71" s="376"/>
      <c r="H71" s="443"/>
      <c r="I71" s="443"/>
      <c r="J71" s="445"/>
      <c r="K71" s="443"/>
      <c r="L71" s="445"/>
      <c r="M71" s="450"/>
      <c r="N71" s="290"/>
      <c r="O71" s="347"/>
      <c r="P71" s="290"/>
      <c r="Q71" s="364"/>
      <c r="R71" s="290"/>
      <c r="S71" s="347"/>
      <c r="T71" s="290"/>
      <c r="U71" s="364"/>
      <c r="V71" s="290"/>
      <c r="W71" s="347"/>
      <c r="X71" s="290"/>
      <c r="Y71" s="289"/>
      <c r="Z71" s="290"/>
      <c r="AA71" s="281"/>
      <c r="AB71" s="371"/>
      <c r="AC71" s="445"/>
      <c r="AD71" s="462"/>
      <c r="AE71" s="445"/>
      <c r="AF71" s="72" t="s">
        <v>239</v>
      </c>
      <c r="AG71" s="73">
        <v>2</v>
      </c>
      <c r="AH71" s="110"/>
      <c r="AI71" s="171"/>
      <c r="AJ71" s="127"/>
      <c r="AK71" s="188"/>
      <c r="AL71" s="188">
        <v>0</v>
      </c>
      <c r="AM71" s="188"/>
      <c r="AN71" s="188" t="s">
        <v>420</v>
      </c>
      <c r="AO71" s="188">
        <v>1</v>
      </c>
      <c r="AP71" s="188">
        <v>1</v>
      </c>
      <c r="AQ71" s="188" t="s">
        <v>520</v>
      </c>
      <c r="AR71" s="188">
        <v>2</v>
      </c>
      <c r="AS71" s="188">
        <v>2</v>
      </c>
      <c r="AT71" s="73">
        <v>8</v>
      </c>
      <c r="AU71" s="176"/>
      <c r="AV71" s="445"/>
      <c r="AW71" s="74" t="s">
        <v>59</v>
      </c>
      <c r="AX71" s="75">
        <v>20000000</v>
      </c>
      <c r="AY71" s="627"/>
      <c r="AZ71" s="76" t="s">
        <v>240</v>
      </c>
      <c r="BA71" s="623"/>
      <c r="BB71" s="617"/>
      <c r="BC71" s="585"/>
      <c r="BD71" s="573"/>
      <c r="BE71" s="152" t="s">
        <v>421</v>
      </c>
      <c r="BF71" s="184"/>
      <c r="BG71" s="78" t="s">
        <v>455</v>
      </c>
      <c r="BH71" s="77" t="s">
        <v>454</v>
      </c>
      <c r="BI71" s="78"/>
    </row>
    <row r="72" spans="1:61" s="77" customFormat="1" ht="168" customHeight="1" x14ac:dyDescent="0.35">
      <c r="A72" s="327"/>
      <c r="B72" s="327"/>
      <c r="C72" s="377"/>
      <c r="D72" s="377"/>
      <c r="E72" s="377"/>
      <c r="F72" s="459"/>
      <c r="G72" s="377"/>
      <c r="H72" s="443"/>
      <c r="I72" s="443"/>
      <c r="J72" s="445"/>
      <c r="K72" s="443"/>
      <c r="L72" s="445"/>
      <c r="M72" s="449"/>
      <c r="N72" s="288"/>
      <c r="O72" s="348"/>
      <c r="P72" s="288"/>
      <c r="Q72" s="365"/>
      <c r="R72" s="288"/>
      <c r="S72" s="348"/>
      <c r="T72" s="288"/>
      <c r="U72" s="365"/>
      <c r="V72" s="288"/>
      <c r="W72" s="348"/>
      <c r="X72" s="288"/>
      <c r="Y72" s="286"/>
      <c r="Z72" s="288"/>
      <c r="AA72" s="281"/>
      <c r="AB72" s="371"/>
      <c r="AC72" s="445"/>
      <c r="AD72" s="462"/>
      <c r="AE72" s="445"/>
      <c r="AF72" s="72" t="s">
        <v>241</v>
      </c>
      <c r="AG72" s="73">
        <v>3</v>
      </c>
      <c r="AH72" s="110"/>
      <c r="AI72" s="171"/>
      <c r="AJ72" s="127"/>
      <c r="AK72" s="188" t="s">
        <v>322</v>
      </c>
      <c r="AL72" s="188">
        <v>2</v>
      </c>
      <c r="AM72" s="188">
        <v>2</v>
      </c>
      <c r="AN72" s="188" t="s">
        <v>521</v>
      </c>
      <c r="AO72" s="188">
        <v>1</v>
      </c>
      <c r="AP72" s="188">
        <v>1</v>
      </c>
      <c r="AQ72" s="188"/>
      <c r="AR72" s="188"/>
      <c r="AS72" s="188"/>
      <c r="AT72" s="73">
        <v>17</v>
      </c>
      <c r="AU72" s="176"/>
      <c r="AV72" s="445"/>
      <c r="AW72" s="79" t="s">
        <v>59</v>
      </c>
      <c r="AX72" s="80">
        <v>29800000</v>
      </c>
      <c r="AY72" s="627"/>
      <c r="AZ72" s="81" t="s">
        <v>240</v>
      </c>
      <c r="BA72" s="624"/>
      <c r="BB72" s="618"/>
      <c r="BC72" s="586"/>
      <c r="BD72" s="574"/>
      <c r="BE72" s="151" t="s">
        <v>323</v>
      </c>
      <c r="BF72" s="184"/>
      <c r="BG72" s="78"/>
      <c r="BI72" s="78"/>
    </row>
    <row r="73" spans="1:61" s="89" customFormat="1" ht="197.15" customHeight="1" x14ac:dyDescent="0.35">
      <c r="A73" s="328" t="s">
        <v>242</v>
      </c>
      <c r="B73" s="82" t="s">
        <v>243</v>
      </c>
      <c r="C73" s="82"/>
      <c r="D73" s="82"/>
      <c r="E73" s="82"/>
      <c r="F73" s="82"/>
      <c r="G73" s="82" t="s">
        <v>244</v>
      </c>
      <c r="H73" s="83" t="s">
        <v>245</v>
      </c>
      <c r="I73" s="83" t="s">
        <v>50</v>
      </c>
      <c r="J73" s="84" t="s">
        <v>246</v>
      </c>
      <c r="K73" s="83" t="s">
        <v>247</v>
      </c>
      <c r="L73" s="84">
        <v>4</v>
      </c>
      <c r="M73" s="124">
        <v>0</v>
      </c>
      <c r="N73" s="156">
        <f>M73/L73</f>
        <v>0</v>
      </c>
      <c r="O73" s="156">
        <v>0</v>
      </c>
      <c r="P73" s="156">
        <f>M73/12</f>
        <v>0</v>
      </c>
      <c r="Q73" s="181">
        <v>0</v>
      </c>
      <c r="R73" s="156">
        <v>0</v>
      </c>
      <c r="S73" s="156">
        <v>0</v>
      </c>
      <c r="T73" s="156">
        <v>0</v>
      </c>
      <c r="U73" s="181">
        <v>0</v>
      </c>
      <c r="V73" s="156">
        <v>0</v>
      </c>
      <c r="W73" s="156">
        <v>0</v>
      </c>
      <c r="X73" s="156">
        <v>0</v>
      </c>
      <c r="Y73" s="278">
        <v>0</v>
      </c>
      <c r="Z73" s="156">
        <v>0</v>
      </c>
      <c r="AA73" s="156">
        <v>0</v>
      </c>
      <c r="AB73" s="156">
        <v>0</v>
      </c>
      <c r="AC73" s="84" t="s">
        <v>474</v>
      </c>
      <c r="AD73" s="85">
        <v>2021130010264</v>
      </c>
      <c r="AE73" s="84"/>
      <c r="AF73" s="83" t="s">
        <v>248</v>
      </c>
      <c r="AG73" s="84">
        <v>4</v>
      </c>
      <c r="AH73" s="111"/>
      <c r="AI73" s="172"/>
      <c r="AJ73" s="128"/>
      <c r="AK73" s="124"/>
      <c r="AL73" s="124">
        <v>0</v>
      </c>
      <c r="AM73" s="124"/>
      <c r="AN73" s="124"/>
      <c r="AO73" s="124">
        <v>0</v>
      </c>
      <c r="AP73" s="124"/>
      <c r="AQ73" s="124"/>
      <c r="AR73" s="124"/>
      <c r="AS73" s="124"/>
      <c r="AT73" s="84">
        <v>12</v>
      </c>
      <c r="AU73" s="176"/>
      <c r="AV73" s="84" t="s">
        <v>34</v>
      </c>
      <c r="AW73" s="86" t="s">
        <v>249</v>
      </c>
      <c r="AX73" s="87">
        <v>1</v>
      </c>
      <c r="AY73" s="88" t="s">
        <v>244</v>
      </c>
      <c r="AZ73" s="88" t="s">
        <v>149</v>
      </c>
      <c r="BA73" s="246"/>
      <c r="BB73" s="256"/>
      <c r="BC73" s="247"/>
      <c r="BD73" s="248"/>
      <c r="BE73" s="120"/>
      <c r="BF73" s="124" t="s">
        <v>305</v>
      </c>
      <c r="BG73" s="90" t="s">
        <v>475</v>
      </c>
      <c r="BH73" s="89" t="s">
        <v>476</v>
      </c>
      <c r="BI73" s="90"/>
    </row>
    <row r="74" spans="1:61" s="95" customFormat="1" ht="121" customHeight="1" x14ac:dyDescent="0.35">
      <c r="A74" s="329"/>
      <c r="B74" s="394" t="s">
        <v>250</v>
      </c>
      <c r="C74" s="394"/>
      <c r="D74" s="394"/>
      <c r="E74" s="394"/>
      <c r="F74" s="207"/>
      <c r="G74" s="394" t="s">
        <v>251</v>
      </c>
      <c r="H74" s="91" t="s">
        <v>252</v>
      </c>
      <c r="I74" s="91">
        <v>1</v>
      </c>
      <c r="J74" s="92" t="s">
        <v>253</v>
      </c>
      <c r="K74" s="91" t="s">
        <v>254</v>
      </c>
      <c r="L74" s="92">
        <v>1</v>
      </c>
      <c r="M74" s="125">
        <v>0</v>
      </c>
      <c r="N74" s="157">
        <f>M74/L74</f>
        <v>0</v>
      </c>
      <c r="O74" s="283">
        <f>(N74+N75)/2</f>
        <v>0</v>
      </c>
      <c r="P74" s="157">
        <f>M74/3</f>
        <v>0</v>
      </c>
      <c r="Q74" s="182">
        <v>0</v>
      </c>
      <c r="R74" s="157">
        <v>0</v>
      </c>
      <c r="S74" s="283">
        <v>0</v>
      </c>
      <c r="T74" s="157">
        <v>0</v>
      </c>
      <c r="U74" s="182">
        <v>0</v>
      </c>
      <c r="V74" s="157">
        <v>0</v>
      </c>
      <c r="W74" s="283">
        <v>0</v>
      </c>
      <c r="X74" s="157">
        <v>0</v>
      </c>
      <c r="Y74" s="278">
        <f>AR74</f>
        <v>1</v>
      </c>
      <c r="Z74" s="157">
        <v>1</v>
      </c>
      <c r="AA74" s="283">
        <v>1</v>
      </c>
      <c r="AB74" s="157">
        <f>(Y74+U74+Q74+M74)/3</f>
        <v>0.33333333333333331</v>
      </c>
      <c r="AC74" s="394" t="s">
        <v>427</v>
      </c>
      <c r="AD74" s="425">
        <v>2021130010134</v>
      </c>
      <c r="AE74" s="394" t="s">
        <v>471</v>
      </c>
      <c r="AF74" s="91" t="s">
        <v>252</v>
      </c>
      <c r="AG74" s="92">
        <v>1</v>
      </c>
      <c r="AH74" s="112"/>
      <c r="AI74" s="173"/>
      <c r="AJ74" s="129"/>
      <c r="AK74" s="125"/>
      <c r="AL74" s="125">
        <v>0</v>
      </c>
      <c r="AM74" s="125"/>
      <c r="AN74" s="125"/>
      <c r="AO74" s="125">
        <v>0</v>
      </c>
      <c r="AP74" s="125"/>
      <c r="AQ74" s="125" t="s">
        <v>522</v>
      </c>
      <c r="AR74" s="125">
        <v>1</v>
      </c>
      <c r="AS74" s="125">
        <v>1</v>
      </c>
      <c r="AT74" s="92">
        <v>3</v>
      </c>
      <c r="AU74" s="176"/>
      <c r="AV74" s="394" t="s">
        <v>34</v>
      </c>
      <c r="AW74" s="93" t="s">
        <v>249</v>
      </c>
      <c r="AX74" s="94">
        <v>30365799</v>
      </c>
      <c r="AY74" s="396" t="s">
        <v>251</v>
      </c>
      <c r="AZ74" s="396" t="s">
        <v>255</v>
      </c>
      <c r="BA74" s="565">
        <f>AX74+AX75</f>
        <v>64365799</v>
      </c>
      <c r="BB74" s="565">
        <f>BA74</f>
        <v>64365799</v>
      </c>
      <c r="BC74" s="565">
        <v>63400000</v>
      </c>
      <c r="BD74" s="567">
        <f>BC74/BB74</f>
        <v>0.98499515247220037</v>
      </c>
      <c r="BE74" s="153"/>
      <c r="BF74" s="125" t="s">
        <v>306</v>
      </c>
      <c r="BG74" s="96" t="s">
        <v>450</v>
      </c>
      <c r="BI74" s="96"/>
    </row>
    <row r="75" spans="1:61" s="95" customFormat="1" ht="121" customHeight="1" x14ac:dyDescent="0.35">
      <c r="A75" s="329"/>
      <c r="B75" s="395"/>
      <c r="C75" s="395"/>
      <c r="D75" s="395"/>
      <c r="E75" s="395"/>
      <c r="F75" s="208"/>
      <c r="G75" s="395"/>
      <c r="H75" s="91" t="s">
        <v>256</v>
      </c>
      <c r="I75" s="91">
        <v>0</v>
      </c>
      <c r="J75" s="92" t="s">
        <v>257</v>
      </c>
      <c r="K75" s="91" t="s">
        <v>258</v>
      </c>
      <c r="L75" s="92">
        <v>4</v>
      </c>
      <c r="M75" s="125">
        <v>0</v>
      </c>
      <c r="N75" s="157">
        <f>M75/L75</f>
        <v>0</v>
      </c>
      <c r="O75" s="284"/>
      <c r="P75" s="158">
        <f>M75/12</f>
        <v>0</v>
      </c>
      <c r="Q75" s="181">
        <v>0</v>
      </c>
      <c r="R75" s="177">
        <v>0</v>
      </c>
      <c r="S75" s="284"/>
      <c r="T75" s="177">
        <v>0</v>
      </c>
      <c r="U75" s="181">
        <v>0</v>
      </c>
      <c r="V75" s="244">
        <v>0</v>
      </c>
      <c r="W75" s="284"/>
      <c r="X75" s="244">
        <v>0</v>
      </c>
      <c r="Y75" s="279">
        <v>4</v>
      </c>
      <c r="Z75" s="274">
        <v>1</v>
      </c>
      <c r="AA75" s="284"/>
      <c r="AB75" s="274">
        <f>(Y75+U75+Q75+M75)/12</f>
        <v>0.33333333333333331</v>
      </c>
      <c r="AC75" s="395"/>
      <c r="AD75" s="426"/>
      <c r="AE75" s="395"/>
      <c r="AF75" s="91" t="s">
        <v>259</v>
      </c>
      <c r="AG75" s="92">
        <v>4</v>
      </c>
      <c r="AH75" s="112"/>
      <c r="AI75" s="173"/>
      <c r="AJ75" s="129"/>
      <c r="AK75" s="125"/>
      <c r="AL75" s="125">
        <v>0</v>
      </c>
      <c r="AM75" s="125"/>
      <c r="AN75" s="125"/>
      <c r="AO75" s="125">
        <v>0</v>
      </c>
      <c r="AP75" s="125"/>
      <c r="AQ75" s="125" t="s">
        <v>523</v>
      </c>
      <c r="AR75" s="125">
        <v>1</v>
      </c>
      <c r="AS75" s="125">
        <v>15</v>
      </c>
      <c r="AT75" s="92">
        <v>12</v>
      </c>
      <c r="AU75" s="176"/>
      <c r="AV75" s="395"/>
      <c r="AW75" s="93" t="s">
        <v>249</v>
      </c>
      <c r="AX75" s="94">
        <v>34000000</v>
      </c>
      <c r="AY75" s="397"/>
      <c r="AZ75" s="397"/>
      <c r="BA75" s="566"/>
      <c r="BB75" s="566"/>
      <c r="BC75" s="566"/>
      <c r="BD75" s="568"/>
      <c r="BE75" s="153"/>
      <c r="BF75" s="125" t="s">
        <v>306</v>
      </c>
      <c r="BG75" s="96" t="s">
        <v>448</v>
      </c>
      <c r="BI75" s="96"/>
    </row>
    <row r="76" spans="1:61" s="219" customFormat="1" ht="121" customHeight="1" x14ac:dyDescent="0.35">
      <c r="A76" s="330"/>
      <c r="B76" s="231" t="s">
        <v>260</v>
      </c>
      <c r="C76" s="231"/>
      <c r="D76" s="231"/>
      <c r="E76" s="231"/>
      <c r="F76" s="231"/>
      <c r="G76" s="231" t="s">
        <v>261</v>
      </c>
      <c r="H76" s="215" t="s">
        <v>262</v>
      </c>
      <c r="I76" s="232">
        <v>14729</v>
      </c>
      <c r="J76" s="214" t="s">
        <v>263</v>
      </c>
      <c r="K76" s="232">
        <v>20000</v>
      </c>
      <c r="L76" s="214">
        <v>200</v>
      </c>
      <c r="M76" s="233">
        <v>47</v>
      </c>
      <c r="N76" s="234">
        <f>M76/L76</f>
        <v>0.23499999999999999</v>
      </c>
      <c r="O76" s="234">
        <v>0.24</v>
      </c>
      <c r="P76" s="235">
        <f>M76/20000</f>
        <v>2.3500000000000001E-3</v>
      </c>
      <c r="Q76" s="236">
        <v>100</v>
      </c>
      <c r="R76" s="234">
        <f>(Q76+M76)/L76</f>
        <v>0.73499999999999999</v>
      </c>
      <c r="S76" s="234">
        <f>(Q76+M76)/L76</f>
        <v>0.73499999999999999</v>
      </c>
      <c r="T76" s="234">
        <f>(Q76+M76)/20000</f>
        <v>7.3499999999999998E-3</v>
      </c>
      <c r="U76" s="236">
        <f>AP76</f>
        <v>61</v>
      </c>
      <c r="V76" s="234">
        <v>1</v>
      </c>
      <c r="W76" s="234">
        <v>1</v>
      </c>
      <c r="X76" s="235">
        <f>(M76+Q76+U76)/20000</f>
        <v>1.04E-2</v>
      </c>
      <c r="Y76" s="278">
        <v>0</v>
      </c>
      <c r="Z76" s="280">
        <v>1</v>
      </c>
      <c r="AA76" s="280">
        <v>1</v>
      </c>
      <c r="AB76" s="235">
        <f>(Y76+U76+Q76+M76)/20000</f>
        <v>1.04E-2</v>
      </c>
      <c r="AC76" s="231" t="s">
        <v>472</v>
      </c>
      <c r="AD76" s="237">
        <v>2021130010090</v>
      </c>
      <c r="AE76" s="214" t="s">
        <v>473</v>
      </c>
      <c r="AF76" s="215" t="s">
        <v>264</v>
      </c>
      <c r="AG76" s="214">
        <v>4</v>
      </c>
      <c r="AH76" s="238" t="s">
        <v>285</v>
      </c>
      <c r="AI76" s="239">
        <v>1</v>
      </c>
      <c r="AJ76" s="240">
        <v>47</v>
      </c>
      <c r="AK76" s="233" t="s">
        <v>367</v>
      </c>
      <c r="AL76" s="233">
        <v>2</v>
      </c>
      <c r="AM76" s="233">
        <v>100</v>
      </c>
      <c r="AN76" s="233" t="s">
        <v>424</v>
      </c>
      <c r="AO76" s="233">
        <v>2</v>
      </c>
      <c r="AP76" s="233">
        <v>61</v>
      </c>
      <c r="AQ76" s="233"/>
      <c r="AR76" s="233"/>
      <c r="AS76" s="233"/>
      <c r="AT76" s="237">
        <v>20000</v>
      </c>
      <c r="AU76" s="241"/>
      <c r="AV76" s="214" t="s">
        <v>34</v>
      </c>
      <c r="AW76" s="216" t="s">
        <v>249</v>
      </c>
      <c r="AX76" s="228">
        <v>88116779</v>
      </c>
      <c r="AY76" s="217" t="s">
        <v>261</v>
      </c>
      <c r="AZ76" s="217" t="s">
        <v>265</v>
      </c>
      <c r="BA76" s="246"/>
      <c r="BB76" s="256"/>
      <c r="BC76" s="247"/>
      <c r="BD76" s="248"/>
      <c r="BE76" s="242" t="s">
        <v>368</v>
      </c>
      <c r="BF76" s="233"/>
      <c r="BG76" s="218" t="s">
        <v>442</v>
      </c>
      <c r="BI76" s="218"/>
    </row>
    <row r="77" spans="1:61" ht="14.15" customHeight="1" x14ac:dyDescent="0.35">
      <c r="AH77" s="113"/>
      <c r="AI77" s="114"/>
      <c r="AJ77" s="130"/>
      <c r="AK77" s="130"/>
      <c r="AL77" s="130"/>
      <c r="AM77" s="130"/>
      <c r="AN77" s="130"/>
      <c r="AO77" s="130"/>
      <c r="AP77" s="130"/>
      <c r="AQ77" s="130"/>
      <c r="AR77" s="130"/>
      <c r="AS77" s="130"/>
      <c r="BC77" s="250"/>
      <c r="BE77" s="118"/>
    </row>
    <row r="78" spans="1:61" ht="14.15" customHeight="1" x14ac:dyDescent="0.35">
      <c r="AH78" s="113"/>
      <c r="AI78" s="114"/>
      <c r="AJ78" s="130"/>
      <c r="AK78" s="130"/>
      <c r="AL78" s="130"/>
      <c r="AM78" s="130"/>
      <c r="AN78" s="130"/>
      <c r="AO78" s="130"/>
      <c r="AP78" s="130"/>
      <c r="AQ78" s="130"/>
      <c r="AR78" s="130"/>
      <c r="AS78" s="130"/>
      <c r="BC78" s="250"/>
      <c r="BE78" s="118"/>
    </row>
    <row r="79" spans="1:61" ht="81" customHeight="1" x14ac:dyDescent="0.35">
      <c r="V79" s="211" t="s">
        <v>309</v>
      </c>
      <c r="W79" s="212">
        <f>(AA3+AA18+AA24+AA37+AA46+AA62)/6</f>
        <v>0.90685952514788948</v>
      </c>
      <c r="AH79" s="113"/>
      <c r="AI79" s="114"/>
      <c r="AJ79" s="130"/>
      <c r="AK79" s="130"/>
      <c r="AL79" s="130"/>
      <c r="AM79" s="130"/>
      <c r="AN79" s="130"/>
      <c r="AO79" s="130"/>
      <c r="AP79" s="130"/>
      <c r="AQ79" s="130"/>
      <c r="AR79" s="130"/>
      <c r="AS79" s="130"/>
      <c r="BA79" s="392" t="s">
        <v>310</v>
      </c>
      <c r="BB79" s="392"/>
      <c r="BC79" s="392"/>
      <c r="BD79" s="121">
        <f>(BD3+BD18+BD24+BD37+BD46+BD62+BD74)/7</f>
        <v>0.86856847611003229</v>
      </c>
      <c r="BE79" s="118"/>
    </row>
    <row r="80" spans="1:61" ht="14.15" customHeight="1" x14ac:dyDescent="0.35">
      <c r="AH80" s="113"/>
      <c r="AI80" s="114"/>
      <c r="AJ80" s="130"/>
      <c r="AK80" s="130"/>
      <c r="AL80" s="130"/>
      <c r="AM80" s="130"/>
      <c r="AN80" s="130"/>
      <c r="AO80" s="130"/>
      <c r="AP80" s="130"/>
      <c r="AQ80" s="130"/>
      <c r="AR80" s="130"/>
      <c r="AS80" s="130"/>
      <c r="BC80" s="250"/>
      <c r="BE80" s="118"/>
    </row>
    <row r="81" spans="34:57" ht="14.15" customHeight="1" x14ac:dyDescent="0.35">
      <c r="AH81" s="113"/>
      <c r="AI81" s="114"/>
      <c r="AJ81" s="130"/>
      <c r="AK81" s="130"/>
      <c r="AL81" s="130"/>
      <c r="AM81" s="130"/>
      <c r="AN81" s="130"/>
      <c r="AO81" s="130"/>
      <c r="AP81" s="130"/>
      <c r="AQ81" s="130"/>
      <c r="AR81" s="130"/>
      <c r="AS81" s="130"/>
      <c r="BC81" s="250"/>
      <c r="BE81" s="118"/>
    </row>
    <row r="82" spans="34:57" ht="14.15" customHeight="1" x14ac:dyDescent="0.35">
      <c r="AH82" s="113"/>
      <c r="AI82" s="114"/>
      <c r="AJ82" s="130"/>
      <c r="AK82" s="130"/>
      <c r="AL82" s="130"/>
      <c r="AM82" s="130"/>
      <c r="AN82" s="130"/>
      <c r="AO82" s="130"/>
      <c r="AP82" s="130"/>
      <c r="AQ82" s="130"/>
      <c r="AR82" s="130"/>
      <c r="AS82" s="130"/>
      <c r="BC82" s="250"/>
      <c r="BE82" s="118"/>
    </row>
    <row r="83" spans="34:57" ht="14.15" customHeight="1" x14ac:dyDescent="0.35">
      <c r="AH83" s="113"/>
      <c r="AI83" s="114"/>
      <c r="AJ83" s="130"/>
      <c r="AK83" s="130"/>
      <c r="AL83" s="130"/>
      <c r="AM83" s="130"/>
      <c r="AN83" s="130"/>
      <c r="AO83" s="130"/>
      <c r="AP83" s="130"/>
      <c r="AQ83" s="130"/>
      <c r="AR83" s="130"/>
      <c r="AS83" s="130"/>
      <c r="BC83" s="250"/>
      <c r="BE83" s="118"/>
    </row>
    <row r="84" spans="34:57" ht="14.15" customHeight="1" x14ac:dyDescent="0.35">
      <c r="AH84" s="113"/>
      <c r="AI84" s="114"/>
      <c r="AJ84" s="130"/>
      <c r="AK84" s="130"/>
      <c r="AL84" s="130"/>
      <c r="AM84" s="130"/>
      <c r="AN84" s="130"/>
      <c r="AO84" s="130"/>
      <c r="AP84" s="130"/>
      <c r="AQ84" s="130"/>
      <c r="AR84" s="130"/>
      <c r="AS84" s="130"/>
      <c r="BC84" s="250"/>
      <c r="BE84" s="118"/>
    </row>
    <row r="85" spans="34:57" ht="14.15" customHeight="1" x14ac:dyDescent="0.35">
      <c r="AH85" s="113"/>
      <c r="AI85" s="114"/>
      <c r="AJ85" s="130"/>
      <c r="AK85" s="130"/>
      <c r="AL85" s="130"/>
      <c r="AM85" s="130"/>
      <c r="AN85" s="130"/>
      <c r="AO85" s="130"/>
      <c r="AP85" s="130"/>
      <c r="AQ85" s="130"/>
      <c r="AR85" s="130"/>
      <c r="AS85" s="130"/>
      <c r="BC85" s="250"/>
      <c r="BE85" s="118"/>
    </row>
    <row r="86" spans="34:57" ht="14.15" customHeight="1" x14ac:dyDescent="0.35">
      <c r="AH86" s="113"/>
      <c r="AI86" s="114"/>
      <c r="AJ86" s="130"/>
      <c r="AK86" s="130"/>
      <c r="AL86" s="130"/>
      <c r="AM86" s="130"/>
      <c r="AN86" s="130"/>
      <c r="AO86" s="130"/>
      <c r="AP86" s="130"/>
      <c r="AQ86" s="130"/>
      <c r="AR86" s="130"/>
      <c r="AS86" s="130"/>
      <c r="BC86" s="250"/>
      <c r="BE86" s="118"/>
    </row>
    <row r="87" spans="34:57" ht="14.15" customHeight="1" x14ac:dyDescent="0.35">
      <c r="AH87" s="113"/>
      <c r="AI87" s="114"/>
      <c r="AJ87" s="130"/>
      <c r="AK87" s="130"/>
      <c r="AL87" s="130"/>
      <c r="AM87" s="130"/>
      <c r="AN87" s="130"/>
      <c r="AO87" s="130"/>
      <c r="AP87" s="130"/>
      <c r="AQ87" s="130"/>
      <c r="AR87" s="130"/>
      <c r="AS87" s="130"/>
      <c r="BC87" s="250"/>
      <c r="BE87" s="118"/>
    </row>
    <row r="88" spans="34:57" ht="14.15" customHeight="1" x14ac:dyDescent="0.35">
      <c r="AH88" s="113"/>
      <c r="AI88" s="114"/>
      <c r="AJ88" s="130"/>
      <c r="AK88" s="130"/>
      <c r="AL88" s="130"/>
      <c r="AM88" s="130"/>
      <c r="AN88" s="130"/>
      <c r="AO88" s="130"/>
      <c r="AP88" s="130"/>
      <c r="AQ88" s="130"/>
      <c r="AR88" s="130"/>
      <c r="AS88" s="130"/>
      <c r="BC88" s="250"/>
      <c r="BE88" s="118"/>
    </row>
    <row r="89" spans="34:57" ht="14.15" customHeight="1" x14ac:dyDescent="0.35">
      <c r="AH89" s="113"/>
      <c r="AI89" s="114"/>
      <c r="AJ89" s="130"/>
      <c r="AK89" s="130"/>
      <c r="AL89" s="130"/>
      <c r="AM89" s="130"/>
      <c r="AN89" s="130"/>
      <c r="AO89" s="130"/>
      <c r="AP89" s="130"/>
      <c r="AQ89" s="130"/>
      <c r="AR89" s="130"/>
      <c r="AS89" s="130"/>
      <c r="BC89" s="250"/>
      <c r="BE89" s="118"/>
    </row>
    <row r="90" spans="34:57" ht="14.15" customHeight="1" x14ac:dyDescent="0.35">
      <c r="AH90" s="113"/>
      <c r="AI90" s="114"/>
      <c r="AJ90" s="130"/>
      <c r="AK90" s="130"/>
      <c r="AL90" s="130"/>
      <c r="AM90" s="130"/>
      <c r="AN90" s="130"/>
      <c r="AO90" s="130"/>
      <c r="AP90" s="130"/>
      <c r="AQ90" s="130"/>
      <c r="AR90" s="130"/>
      <c r="AS90" s="130"/>
      <c r="BC90" s="250"/>
      <c r="BE90" s="118"/>
    </row>
    <row r="91" spans="34:57" ht="14.15" customHeight="1" x14ac:dyDescent="0.35">
      <c r="AH91" s="113"/>
      <c r="AI91" s="114"/>
      <c r="AJ91" s="130"/>
      <c r="AK91" s="130"/>
      <c r="AL91" s="130"/>
      <c r="AM91" s="130"/>
      <c r="AN91" s="130"/>
      <c r="AO91" s="130"/>
      <c r="AP91" s="130"/>
      <c r="AQ91" s="130"/>
      <c r="AR91" s="130"/>
      <c r="AS91" s="130"/>
      <c r="BC91" s="250"/>
      <c r="BE91" s="118"/>
    </row>
    <row r="92" spans="34:57" ht="14.15" customHeight="1" x14ac:dyDescent="0.35">
      <c r="AH92" s="113"/>
      <c r="AI92" s="114"/>
      <c r="AJ92" s="130"/>
      <c r="AK92" s="130"/>
      <c r="AL92" s="130"/>
      <c r="AM92" s="130"/>
      <c r="AN92" s="130"/>
      <c r="AO92" s="130"/>
      <c r="AP92" s="130"/>
      <c r="AQ92" s="130"/>
      <c r="AR92" s="130"/>
      <c r="AS92" s="130"/>
      <c r="BC92" s="250"/>
      <c r="BE92" s="118"/>
    </row>
    <row r="93" spans="34:57" ht="14.15" customHeight="1" x14ac:dyDescent="0.35">
      <c r="AH93" s="113"/>
      <c r="AI93" s="114"/>
      <c r="AJ93" s="130"/>
      <c r="AK93" s="130"/>
      <c r="AL93" s="130"/>
      <c r="AM93" s="130"/>
      <c r="AN93" s="130"/>
      <c r="AO93" s="130"/>
      <c r="AP93" s="130"/>
      <c r="AQ93" s="130"/>
      <c r="AR93" s="130"/>
      <c r="AS93" s="130"/>
      <c r="BC93" s="250"/>
      <c r="BE93" s="118"/>
    </row>
    <row r="94" spans="34:57" ht="14.15" customHeight="1" x14ac:dyDescent="0.35">
      <c r="AH94" s="113"/>
      <c r="AI94" s="114"/>
      <c r="AJ94" s="130"/>
      <c r="AK94" s="130"/>
      <c r="AL94" s="130"/>
      <c r="AM94" s="130"/>
      <c r="AN94" s="130"/>
      <c r="AO94" s="130"/>
      <c r="AP94" s="130"/>
      <c r="AQ94" s="130"/>
      <c r="AR94" s="130"/>
      <c r="AS94" s="130"/>
      <c r="BC94" s="250"/>
      <c r="BE94" s="118"/>
    </row>
    <row r="95" spans="34:57" ht="14.15" customHeight="1" x14ac:dyDescent="0.35">
      <c r="AH95" s="113"/>
      <c r="AI95" s="114"/>
      <c r="AJ95" s="130"/>
      <c r="AK95" s="130"/>
      <c r="AL95" s="130"/>
      <c r="AM95" s="130"/>
      <c r="AN95" s="130"/>
      <c r="AO95" s="130"/>
      <c r="AP95" s="130"/>
      <c r="AQ95" s="130"/>
      <c r="AR95" s="130"/>
      <c r="AS95" s="130"/>
      <c r="BC95" s="250"/>
      <c r="BE95" s="118"/>
    </row>
    <row r="96" spans="34:57" ht="14.15" customHeight="1" x14ac:dyDescent="0.35">
      <c r="AH96" s="113"/>
      <c r="AI96" s="114"/>
      <c r="AJ96" s="130"/>
      <c r="AK96" s="130"/>
      <c r="AL96" s="130"/>
      <c r="AM96" s="130"/>
      <c r="AN96" s="130"/>
      <c r="AO96" s="130"/>
      <c r="AP96" s="130"/>
      <c r="AQ96" s="130"/>
      <c r="AR96" s="130"/>
      <c r="AS96" s="130"/>
      <c r="BC96" s="250"/>
      <c r="BE96" s="118"/>
    </row>
    <row r="97" spans="34:57" ht="14.15" customHeight="1" x14ac:dyDescent="0.35">
      <c r="AH97" s="113"/>
      <c r="AI97" s="114"/>
      <c r="AJ97" s="130"/>
      <c r="AK97" s="130"/>
      <c r="AL97" s="130"/>
      <c r="AM97" s="130"/>
      <c r="AN97" s="130"/>
      <c r="AO97" s="130"/>
      <c r="AP97" s="130"/>
      <c r="AQ97" s="130"/>
      <c r="AR97" s="130"/>
      <c r="AS97" s="130"/>
      <c r="BC97" s="250"/>
      <c r="BE97" s="118"/>
    </row>
    <row r="98" spans="34:57" ht="14.15" customHeight="1" x14ac:dyDescent="0.35">
      <c r="AH98" s="113"/>
      <c r="AI98" s="114"/>
      <c r="AJ98" s="130"/>
      <c r="AK98" s="130"/>
      <c r="AL98" s="130"/>
      <c r="AM98" s="130"/>
      <c r="AN98" s="130"/>
      <c r="AO98" s="130"/>
      <c r="AP98" s="130"/>
      <c r="AQ98" s="130"/>
      <c r="AR98" s="130"/>
      <c r="AS98" s="130"/>
      <c r="BC98" s="250"/>
      <c r="BE98" s="118"/>
    </row>
    <row r="99" spans="34:57" ht="14.15" customHeight="1" x14ac:dyDescent="0.35">
      <c r="AH99" s="113"/>
      <c r="AI99" s="114"/>
      <c r="AJ99" s="130"/>
      <c r="AK99" s="130"/>
      <c r="AL99" s="130"/>
      <c r="AM99" s="130"/>
      <c r="AN99" s="130"/>
      <c r="AO99" s="130"/>
      <c r="AP99" s="130"/>
      <c r="AQ99" s="130"/>
      <c r="AR99" s="130"/>
      <c r="AS99" s="130"/>
      <c r="BC99" s="250"/>
      <c r="BE99" s="118"/>
    </row>
    <row r="100" spans="34:57" ht="14.15" customHeight="1" x14ac:dyDescent="0.35">
      <c r="AH100" s="113"/>
      <c r="AI100" s="114"/>
      <c r="AJ100" s="130"/>
      <c r="AK100" s="130"/>
      <c r="AL100" s="130"/>
      <c r="AM100" s="130"/>
      <c r="AN100" s="130"/>
      <c r="AO100" s="130"/>
      <c r="AP100" s="130"/>
      <c r="AQ100" s="130"/>
      <c r="AR100" s="130"/>
      <c r="AS100" s="130"/>
      <c r="BC100" s="250"/>
      <c r="BE100" s="118"/>
    </row>
    <row r="101" spans="34:57" ht="14.15" customHeight="1" x14ac:dyDescent="0.35">
      <c r="AH101" s="113"/>
      <c r="AI101" s="114"/>
      <c r="AJ101" s="130"/>
      <c r="AK101" s="130"/>
      <c r="AL101" s="130"/>
      <c r="AM101" s="130"/>
      <c r="AN101" s="130"/>
      <c r="AO101" s="130"/>
      <c r="AP101" s="130"/>
      <c r="AQ101" s="130"/>
      <c r="AR101" s="130"/>
      <c r="AS101" s="130"/>
      <c r="BC101" s="250"/>
      <c r="BE101" s="118"/>
    </row>
    <row r="102" spans="34:57" ht="14.15" customHeight="1" x14ac:dyDescent="0.35">
      <c r="AH102" s="113"/>
      <c r="AI102" s="114"/>
      <c r="AJ102" s="130"/>
      <c r="AK102" s="130"/>
      <c r="AL102" s="130"/>
      <c r="AM102" s="130"/>
      <c r="AN102" s="130"/>
      <c r="AO102" s="130"/>
      <c r="AP102" s="130"/>
      <c r="AQ102" s="130"/>
      <c r="AR102" s="130"/>
      <c r="AS102" s="130"/>
      <c r="BC102" s="250"/>
      <c r="BE102" s="118"/>
    </row>
    <row r="103" spans="34:57" ht="14.15" customHeight="1" x14ac:dyDescent="0.35">
      <c r="AH103" s="113"/>
      <c r="AI103" s="114"/>
      <c r="AJ103" s="130"/>
      <c r="AK103" s="130"/>
      <c r="AL103" s="130"/>
      <c r="AM103" s="130"/>
      <c r="AN103" s="130"/>
      <c r="AO103" s="130"/>
      <c r="AP103" s="130"/>
      <c r="AQ103" s="130"/>
      <c r="AR103" s="130"/>
      <c r="AS103" s="130"/>
      <c r="BC103" s="250"/>
      <c r="BE103" s="118"/>
    </row>
    <row r="104" spans="34:57" ht="14.15" customHeight="1" x14ac:dyDescent="0.35">
      <c r="AH104" s="113"/>
      <c r="AI104" s="114"/>
      <c r="AJ104" s="130"/>
      <c r="AK104" s="130"/>
      <c r="AL104" s="130"/>
      <c r="AM104" s="130"/>
      <c r="AN104" s="130"/>
      <c r="AO104" s="130"/>
      <c r="AP104" s="130"/>
      <c r="AQ104" s="130"/>
      <c r="AR104" s="130"/>
      <c r="AS104" s="130"/>
      <c r="BC104" s="250"/>
      <c r="BE104" s="118"/>
    </row>
    <row r="105" spans="34:57" ht="14.15" customHeight="1" x14ac:dyDescent="0.35">
      <c r="AH105" s="113"/>
      <c r="AI105" s="114"/>
      <c r="AJ105" s="130"/>
      <c r="AK105" s="130"/>
      <c r="AL105" s="130"/>
      <c r="AM105" s="130"/>
      <c r="AN105" s="130"/>
      <c r="AO105" s="130"/>
      <c r="AP105" s="130"/>
      <c r="AQ105" s="130"/>
      <c r="AR105" s="130"/>
      <c r="AS105" s="130"/>
      <c r="BC105" s="250"/>
      <c r="BE105" s="118"/>
    </row>
    <row r="106" spans="34:57" ht="14.15" customHeight="1" x14ac:dyDescent="0.35">
      <c r="AH106" s="113"/>
      <c r="AI106" s="114"/>
      <c r="AJ106" s="130"/>
      <c r="AK106" s="130"/>
      <c r="AL106" s="130"/>
      <c r="AM106" s="130"/>
      <c r="AN106" s="130"/>
      <c r="AO106" s="130"/>
      <c r="AP106" s="130"/>
      <c r="AQ106" s="130"/>
      <c r="AR106" s="130"/>
      <c r="AS106" s="130"/>
      <c r="BC106" s="250"/>
      <c r="BE106" s="118"/>
    </row>
    <row r="107" spans="34:57" ht="14.15" customHeight="1" x14ac:dyDescent="0.35">
      <c r="AH107" s="113"/>
      <c r="AI107" s="114"/>
      <c r="AJ107" s="130"/>
      <c r="AK107" s="130"/>
      <c r="AL107" s="130"/>
      <c r="AM107" s="130"/>
      <c r="AN107" s="130"/>
      <c r="AO107" s="130"/>
      <c r="AP107" s="130"/>
      <c r="AQ107" s="130"/>
      <c r="AR107" s="130"/>
      <c r="AS107" s="130"/>
      <c r="BC107" s="250"/>
      <c r="BE107" s="118"/>
    </row>
    <row r="108" spans="34:57" ht="14.15" customHeight="1" x14ac:dyDescent="0.35">
      <c r="AH108" s="113"/>
      <c r="AI108" s="114"/>
      <c r="AJ108" s="130"/>
      <c r="AK108" s="130"/>
      <c r="AL108" s="130"/>
      <c r="AM108" s="130"/>
      <c r="AN108" s="130"/>
      <c r="AO108" s="130"/>
      <c r="AP108" s="130"/>
      <c r="AQ108" s="130"/>
      <c r="AR108" s="130"/>
      <c r="AS108" s="130"/>
      <c r="BC108" s="250"/>
      <c r="BE108" s="118"/>
    </row>
    <row r="109" spans="34:57" ht="14.15" customHeight="1" x14ac:dyDescent="0.35">
      <c r="AH109" s="113"/>
      <c r="AI109" s="114"/>
      <c r="AJ109" s="130"/>
      <c r="AK109" s="130"/>
      <c r="AL109" s="130"/>
      <c r="AM109" s="130"/>
      <c r="AN109" s="130"/>
      <c r="AO109" s="130"/>
      <c r="AP109" s="130"/>
      <c r="AQ109" s="130"/>
      <c r="AR109" s="130"/>
      <c r="AS109" s="130"/>
      <c r="BC109" s="250"/>
      <c r="BE109" s="118"/>
    </row>
    <row r="110" spans="34:57" ht="14.15" customHeight="1" x14ac:dyDescent="0.35">
      <c r="AH110" s="113"/>
      <c r="AI110" s="114"/>
      <c r="AJ110" s="130"/>
      <c r="AK110" s="130"/>
      <c r="AL110" s="130"/>
      <c r="AM110" s="130"/>
      <c r="AN110" s="130"/>
      <c r="AO110" s="130"/>
      <c r="AP110" s="130"/>
      <c r="AQ110" s="130"/>
      <c r="AR110" s="130"/>
      <c r="AS110" s="130"/>
      <c r="BC110" s="250"/>
      <c r="BE110" s="118"/>
    </row>
    <row r="111" spans="34:57" ht="14.15" customHeight="1" x14ac:dyDescent="0.35">
      <c r="AH111" s="113"/>
      <c r="AI111" s="114"/>
      <c r="AJ111" s="130"/>
      <c r="AK111" s="130"/>
      <c r="AL111" s="130"/>
      <c r="AM111" s="130"/>
      <c r="AN111" s="130"/>
      <c r="AO111" s="130"/>
      <c r="AP111" s="130"/>
      <c r="AQ111" s="130"/>
      <c r="AR111" s="130"/>
      <c r="AS111" s="130"/>
      <c r="BC111" s="250"/>
      <c r="BE111" s="118"/>
    </row>
    <row r="112" spans="34:57" ht="14.15" customHeight="1" x14ac:dyDescent="0.35">
      <c r="AH112" s="113"/>
      <c r="AI112" s="114"/>
      <c r="AJ112" s="130"/>
      <c r="AK112" s="130"/>
      <c r="AL112" s="130"/>
      <c r="AM112" s="130"/>
      <c r="AN112" s="130"/>
      <c r="AO112" s="130"/>
      <c r="AP112" s="130"/>
      <c r="AQ112" s="130"/>
      <c r="AR112" s="130"/>
      <c r="AS112" s="130"/>
      <c r="BC112" s="250"/>
      <c r="BE112" s="118"/>
    </row>
    <row r="113" spans="34:57" ht="14.15" customHeight="1" x14ac:dyDescent="0.35">
      <c r="AH113" s="113"/>
      <c r="AI113" s="114"/>
      <c r="AJ113" s="130"/>
      <c r="AK113" s="130"/>
      <c r="AL113" s="130"/>
      <c r="AM113" s="130"/>
      <c r="AN113" s="130"/>
      <c r="AO113" s="130"/>
      <c r="AP113" s="130"/>
      <c r="AQ113" s="130"/>
      <c r="AR113" s="130"/>
      <c r="AS113" s="130"/>
      <c r="BC113" s="250"/>
      <c r="BE113" s="118"/>
    </row>
    <row r="114" spans="34:57" ht="14.15" customHeight="1" x14ac:dyDescent="0.35">
      <c r="AH114" s="113"/>
      <c r="AI114" s="114"/>
      <c r="AJ114" s="130"/>
      <c r="AK114" s="130"/>
      <c r="AL114" s="130"/>
      <c r="AM114" s="130"/>
      <c r="AN114" s="130"/>
      <c r="AO114" s="130"/>
      <c r="AP114" s="130"/>
      <c r="AQ114" s="130"/>
      <c r="AR114" s="130"/>
      <c r="AS114" s="130"/>
      <c r="BC114" s="250"/>
      <c r="BE114" s="118"/>
    </row>
    <row r="115" spans="34:57" ht="14.15" customHeight="1" x14ac:dyDescent="0.35">
      <c r="AH115" s="113"/>
      <c r="AI115" s="114"/>
      <c r="AJ115" s="130"/>
      <c r="AK115" s="130"/>
      <c r="AL115" s="130"/>
      <c r="AM115" s="130"/>
      <c r="AN115" s="130"/>
      <c r="AO115" s="130"/>
      <c r="AP115" s="130"/>
      <c r="AQ115" s="130"/>
      <c r="AR115" s="130"/>
      <c r="AS115" s="130"/>
      <c r="BC115" s="250"/>
      <c r="BE115" s="118"/>
    </row>
    <row r="116" spans="34:57" ht="14.15" customHeight="1" x14ac:dyDescent="0.35">
      <c r="AH116" s="113"/>
      <c r="AI116" s="114"/>
      <c r="AJ116" s="130"/>
      <c r="AK116" s="130"/>
      <c r="AL116" s="130"/>
      <c r="AM116" s="130"/>
      <c r="AN116" s="130"/>
      <c r="AO116" s="130"/>
      <c r="AP116" s="130"/>
      <c r="AQ116" s="130"/>
      <c r="AR116" s="130"/>
      <c r="AS116" s="130"/>
      <c r="BC116" s="250"/>
      <c r="BE116" s="118"/>
    </row>
    <row r="117" spans="34:57" ht="14.15" customHeight="1" x14ac:dyDescent="0.35">
      <c r="AH117" s="113"/>
      <c r="AI117" s="114"/>
      <c r="AJ117" s="130"/>
      <c r="AK117" s="130"/>
      <c r="AL117" s="130"/>
      <c r="AM117" s="130"/>
      <c r="AN117" s="130"/>
      <c r="AO117" s="130"/>
      <c r="AP117" s="130"/>
      <c r="AQ117" s="130"/>
      <c r="AR117" s="130"/>
      <c r="AS117" s="130"/>
      <c r="BC117" s="250"/>
      <c r="BE117" s="118"/>
    </row>
    <row r="118" spans="34:57" ht="14.15" customHeight="1" x14ac:dyDescent="0.35">
      <c r="AH118" s="113"/>
      <c r="AI118" s="114"/>
      <c r="AJ118" s="130"/>
      <c r="AK118" s="130"/>
      <c r="AL118" s="130"/>
      <c r="AM118" s="130"/>
      <c r="AN118" s="130"/>
      <c r="AO118" s="130"/>
      <c r="AP118" s="130"/>
      <c r="AQ118" s="130"/>
      <c r="AR118" s="130"/>
      <c r="AS118" s="130"/>
      <c r="BC118" s="250"/>
      <c r="BE118" s="118"/>
    </row>
    <row r="119" spans="34:57" ht="14.15" customHeight="1" x14ac:dyDescent="0.35">
      <c r="AH119" s="113"/>
      <c r="AI119" s="114"/>
      <c r="AJ119" s="130"/>
      <c r="AK119" s="130"/>
      <c r="AL119" s="130"/>
      <c r="AM119" s="130"/>
      <c r="AN119" s="130"/>
      <c r="AO119" s="130"/>
      <c r="AP119" s="130"/>
      <c r="AQ119" s="130"/>
      <c r="AR119" s="130"/>
      <c r="AS119" s="130"/>
      <c r="BC119" s="250"/>
      <c r="BE119" s="118"/>
    </row>
    <row r="120" spans="34:57" ht="14.15" customHeight="1" x14ac:dyDescent="0.35">
      <c r="AH120" s="113"/>
      <c r="AI120" s="114"/>
      <c r="AJ120" s="130"/>
      <c r="AK120" s="130"/>
      <c r="AL120" s="130"/>
      <c r="AM120" s="130"/>
      <c r="AN120" s="130"/>
      <c r="AO120" s="130"/>
      <c r="AP120" s="130"/>
      <c r="AQ120" s="130"/>
      <c r="AR120" s="130"/>
      <c r="AS120" s="130"/>
      <c r="BC120" s="250"/>
      <c r="BE120" s="118"/>
    </row>
    <row r="121" spans="34:57" ht="14.15" customHeight="1" x14ac:dyDescent="0.35">
      <c r="AH121" s="113"/>
      <c r="AI121" s="114"/>
      <c r="AJ121" s="130"/>
      <c r="AK121" s="130"/>
      <c r="AL121" s="130"/>
      <c r="AM121" s="130"/>
      <c r="AN121" s="130"/>
      <c r="AO121" s="130"/>
      <c r="AP121" s="130"/>
      <c r="AQ121" s="130"/>
      <c r="AR121" s="130"/>
      <c r="AS121" s="130"/>
      <c r="BC121" s="250"/>
      <c r="BE121" s="118"/>
    </row>
    <row r="122" spans="34:57" ht="14.15" customHeight="1" x14ac:dyDescent="0.35">
      <c r="AH122" s="113"/>
      <c r="AI122" s="114"/>
      <c r="AJ122" s="130"/>
      <c r="AK122" s="130"/>
      <c r="AL122" s="130"/>
      <c r="AM122" s="130"/>
      <c r="AN122" s="130"/>
      <c r="AO122" s="130"/>
      <c r="AP122" s="130"/>
      <c r="AQ122" s="130"/>
      <c r="AR122" s="130"/>
      <c r="AS122" s="130"/>
      <c r="BC122" s="250"/>
      <c r="BE122" s="118"/>
    </row>
    <row r="123" spans="34:57" ht="14.15" customHeight="1" x14ac:dyDescent="0.35">
      <c r="AH123" s="113"/>
      <c r="AI123" s="114"/>
      <c r="AJ123" s="130"/>
      <c r="AK123" s="130"/>
      <c r="AL123" s="130"/>
      <c r="AM123" s="130"/>
      <c r="AN123" s="130"/>
      <c r="AO123" s="130"/>
      <c r="AP123" s="130"/>
      <c r="AQ123" s="130"/>
      <c r="AR123" s="130"/>
      <c r="AS123" s="130"/>
      <c r="BC123" s="250"/>
      <c r="BE123" s="118"/>
    </row>
    <row r="124" spans="34:57" ht="14.15" customHeight="1" x14ac:dyDescent="0.35">
      <c r="AH124" s="113"/>
      <c r="AI124" s="114"/>
      <c r="AJ124" s="130"/>
      <c r="AK124" s="130"/>
      <c r="AL124" s="130"/>
      <c r="AM124" s="130"/>
      <c r="AN124" s="130"/>
      <c r="AO124" s="130"/>
      <c r="AP124" s="130"/>
      <c r="AQ124" s="130"/>
      <c r="AR124" s="130"/>
      <c r="AS124" s="130"/>
      <c r="BC124" s="250"/>
      <c r="BE124" s="118"/>
    </row>
    <row r="125" spans="34:57" ht="14.15" customHeight="1" x14ac:dyDescent="0.35">
      <c r="AH125" s="113"/>
      <c r="AI125" s="114"/>
      <c r="AJ125" s="130"/>
      <c r="AK125" s="130"/>
      <c r="AL125" s="130"/>
      <c r="AM125" s="130"/>
      <c r="AN125" s="130"/>
      <c r="AO125" s="130"/>
      <c r="AP125" s="130"/>
      <c r="AQ125" s="130"/>
      <c r="AR125" s="130"/>
      <c r="AS125" s="130"/>
      <c r="BC125" s="250"/>
      <c r="BE125" s="118"/>
    </row>
    <row r="126" spans="34:57" ht="14.15" customHeight="1" x14ac:dyDescent="0.35">
      <c r="AH126" s="113"/>
      <c r="AI126" s="114"/>
      <c r="AJ126" s="130"/>
      <c r="AK126" s="130"/>
      <c r="AL126" s="130"/>
      <c r="AM126" s="130"/>
      <c r="AN126" s="130"/>
      <c r="AO126" s="130"/>
      <c r="AP126" s="130"/>
      <c r="AQ126" s="130"/>
      <c r="AR126" s="130"/>
      <c r="AS126" s="130"/>
      <c r="BC126" s="250"/>
      <c r="BE126" s="118"/>
    </row>
    <row r="127" spans="34:57" ht="14.15" customHeight="1" x14ac:dyDescent="0.35">
      <c r="AH127" s="113"/>
      <c r="AI127" s="114"/>
      <c r="AJ127" s="130"/>
      <c r="AK127" s="130"/>
      <c r="AL127" s="130"/>
      <c r="AM127" s="130"/>
      <c r="AN127" s="130"/>
      <c r="AO127" s="130"/>
      <c r="AP127" s="130"/>
      <c r="AQ127" s="130"/>
      <c r="AR127" s="130"/>
      <c r="AS127" s="130"/>
      <c r="BC127" s="250"/>
      <c r="BE127" s="118"/>
    </row>
    <row r="128" spans="34:57" ht="14.15" customHeight="1" x14ac:dyDescent="0.35">
      <c r="AH128" s="113"/>
      <c r="AI128" s="114"/>
      <c r="AJ128" s="130"/>
      <c r="AK128" s="130"/>
      <c r="AL128" s="130"/>
      <c r="AM128" s="130"/>
      <c r="AN128" s="130"/>
      <c r="AO128" s="130"/>
      <c r="AP128" s="130"/>
      <c r="AQ128" s="130"/>
      <c r="AR128" s="130"/>
      <c r="AS128" s="130"/>
      <c r="BC128" s="250"/>
      <c r="BE128" s="118"/>
    </row>
    <row r="129" spans="34:57" ht="14.15" customHeight="1" x14ac:dyDescent="0.35">
      <c r="AH129" s="113"/>
      <c r="AI129" s="114"/>
      <c r="AJ129" s="130"/>
      <c r="AK129" s="130"/>
      <c r="AL129" s="130"/>
      <c r="AM129" s="130"/>
      <c r="AN129" s="130"/>
      <c r="AO129" s="130"/>
      <c r="AP129" s="130"/>
      <c r="AQ129" s="130"/>
      <c r="AR129" s="130"/>
      <c r="AS129" s="130"/>
      <c r="BC129" s="250"/>
      <c r="BE129" s="118"/>
    </row>
    <row r="130" spans="34:57" ht="14.15" customHeight="1" x14ac:dyDescent="0.35">
      <c r="AH130" s="113"/>
      <c r="AI130" s="114"/>
      <c r="AJ130" s="130"/>
      <c r="AK130" s="130"/>
      <c r="AL130" s="130"/>
      <c r="AM130" s="130"/>
      <c r="AN130" s="130"/>
      <c r="AO130" s="130"/>
      <c r="AP130" s="130"/>
      <c r="AQ130" s="130"/>
      <c r="AR130" s="130"/>
      <c r="AS130" s="130"/>
      <c r="BC130" s="250"/>
      <c r="BE130" s="118"/>
    </row>
    <row r="131" spans="34:57" ht="14.15" customHeight="1" x14ac:dyDescent="0.35">
      <c r="AH131" s="113"/>
      <c r="AI131" s="114"/>
      <c r="AJ131" s="130"/>
      <c r="AK131" s="130"/>
      <c r="AL131" s="130"/>
      <c r="AM131" s="130"/>
      <c r="AN131" s="130"/>
      <c r="AO131" s="130"/>
      <c r="AP131" s="130"/>
      <c r="AQ131" s="130"/>
      <c r="AR131" s="130"/>
      <c r="AS131" s="130"/>
      <c r="BC131" s="250"/>
      <c r="BE131" s="118"/>
    </row>
    <row r="132" spans="34:57" ht="14.15" customHeight="1" x14ac:dyDescent="0.35">
      <c r="AH132" s="113"/>
      <c r="AI132" s="114"/>
      <c r="AJ132" s="130"/>
      <c r="AK132" s="130"/>
      <c r="AL132" s="130"/>
      <c r="AM132" s="130"/>
      <c r="AN132" s="130"/>
      <c r="AO132" s="130"/>
      <c r="AP132" s="130"/>
      <c r="AQ132" s="130"/>
      <c r="AR132" s="130"/>
      <c r="AS132" s="130"/>
      <c r="BC132" s="250"/>
      <c r="BE132" s="118"/>
    </row>
    <row r="133" spans="34:57" ht="14.15" customHeight="1" x14ac:dyDescent="0.35">
      <c r="AH133" s="113"/>
      <c r="AI133" s="114"/>
      <c r="AJ133" s="130"/>
      <c r="AK133" s="130"/>
      <c r="AL133" s="130"/>
      <c r="AM133" s="130"/>
      <c r="AN133" s="130"/>
      <c r="AO133" s="130"/>
      <c r="AP133" s="130"/>
      <c r="AQ133" s="130"/>
      <c r="AR133" s="130"/>
      <c r="AS133" s="130"/>
      <c r="BC133" s="250"/>
      <c r="BE133" s="118"/>
    </row>
    <row r="134" spans="34:57" ht="14.15" customHeight="1" x14ac:dyDescent="0.35">
      <c r="AH134" s="113"/>
      <c r="AI134" s="114"/>
      <c r="AJ134" s="130"/>
      <c r="AK134" s="130"/>
      <c r="AL134" s="130"/>
      <c r="AM134" s="130"/>
      <c r="AN134" s="130"/>
      <c r="AO134" s="130"/>
      <c r="AP134" s="130"/>
      <c r="AQ134" s="130"/>
      <c r="AR134" s="130"/>
      <c r="AS134" s="130"/>
      <c r="BC134" s="250"/>
      <c r="BE134" s="118"/>
    </row>
    <row r="135" spans="34:57" ht="14.15" customHeight="1" x14ac:dyDescent="0.35">
      <c r="AH135" s="113"/>
      <c r="AI135" s="114"/>
      <c r="AJ135" s="130"/>
      <c r="AK135" s="130"/>
      <c r="AL135" s="130"/>
      <c r="AM135" s="130"/>
      <c r="AN135" s="130"/>
      <c r="AO135" s="130"/>
      <c r="AP135" s="130"/>
      <c r="AQ135" s="130"/>
      <c r="AR135" s="130"/>
      <c r="AS135" s="130"/>
      <c r="BC135" s="250"/>
      <c r="BE135" s="118"/>
    </row>
    <row r="136" spans="34:57" ht="14.15" customHeight="1" x14ac:dyDescent="0.35">
      <c r="AH136" s="113"/>
      <c r="AI136" s="114"/>
      <c r="AJ136" s="130"/>
      <c r="AK136" s="130"/>
      <c r="AL136" s="130"/>
      <c r="AM136" s="130"/>
      <c r="AN136" s="130"/>
      <c r="AO136" s="130"/>
      <c r="AP136" s="130"/>
      <c r="AQ136" s="130"/>
      <c r="AR136" s="130"/>
      <c r="AS136" s="130"/>
      <c r="BC136" s="250"/>
      <c r="BE136" s="118"/>
    </row>
    <row r="137" spans="34:57" ht="14.15" customHeight="1" x14ac:dyDescent="0.35">
      <c r="AH137" s="113"/>
      <c r="AI137" s="114"/>
      <c r="AJ137" s="130"/>
      <c r="AK137" s="130"/>
      <c r="AL137" s="130"/>
      <c r="AM137" s="130"/>
      <c r="AN137" s="130"/>
      <c r="AO137" s="130"/>
      <c r="AP137" s="130"/>
      <c r="AQ137" s="130"/>
      <c r="AR137" s="130"/>
      <c r="AS137" s="130"/>
      <c r="BC137" s="250"/>
      <c r="BE137" s="118"/>
    </row>
    <row r="138" spans="34:57" ht="14.15" customHeight="1" x14ac:dyDescent="0.35">
      <c r="AH138" s="113"/>
      <c r="AI138" s="114"/>
      <c r="AJ138" s="130"/>
      <c r="AK138" s="130"/>
      <c r="AL138" s="130"/>
      <c r="AM138" s="130"/>
      <c r="AN138" s="130"/>
      <c r="AO138" s="130"/>
      <c r="AP138" s="130"/>
      <c r="AQ138" s="130"/>
      <c r="AR138" s="130"/>
      <c r="AS138" s="130"/>
      <c r="BC138" s="250"/>
      <c r="BE138" s="118"/>
    </row>
    <row r="139" spans="34:57" ht="14.15" customHeight="1" x14ac:dyDescent="0.35">
      <c r="AH139" s="113"/>
      <c r="AI139" s="114"/>
      <c r="AJ139" s="130"/>
      <c r="AK139" s="130"/>
      <c r="AL139" s="130"/>
      <c r="AM139" s="130"/>
      <c r="AN139" s="130"/>
      <c r="AO139" s="130"/>
      <c r="AP139" s="130"/>
      <c r="AQ139" s="130"/>
      <c r="AR139" s="130"/>
      <c r="AS139" s="130"/>
      <c r="BC139" s="250"/>
      <c r="BE139" s="118"/>
    </row>
    <row r="140" spans="34:57" ht="14.15" customHeight="1" x14ac:dyDescent="0.35">
      <c r="AH140" s="113"/>
      <c r="AI140" s="114"/>
      <c r="AJ140" s="130"/>
      <c r="AK140" s="130"/>
      <c r="AL140" s="130"/>
      <c r="AM140" s="130"/>
      <c r="AN140" s="130"/>
      <c r="AO140" s="130"/>
      <c r="AP140" s="130"/>
      <c r="AQ140" s="130"/>
      <c r="AR140" s="130"/>
      <c r="AS140" s="130"/>
      <c r="BC140" s="250"/>
      <c r="BE140" s="118"/>
    </row>
    <row r="141" spans="34:57" ht="14.15" customHeight="1" x14ac:dyDescent="0.35">
      <c r="AH141" s="113"/>
      <c r="AI141" s="114"/>
      <c r="AJ141" s="130"/>
      <c r="AK141" s="130"/>
      <c r="AL141" s="130"/>
      <c r="AM141" s="130"/>
      <c r="AN141" s="130"/>
      <c r="AO141" s="130"/>
      <c r="AP141" s="130"/>
      <c r="AQ141" s="130"/>
      <c r="AR141" s="130"/>
      <c r="AS141" s="130"/>
      <c r="BC141" s="250"/>
      <c r="BE141" s="118"/>
    </row>
    <row r="142" spans="34:57" ht="14.15" customHeight="1" x14ac:dyDescent="0.35">
      <c r="AH142" s="113"/>
      <c r="AI142" s="114"/>
      <c r="AJ142" s="130"/>
      <c r="AK142" s="130"/>
      <c r="AL142" s="130"/>
      <c r="AM142" s="130"/>
      <c r="AN142" s="130"/>
      <c r="AO142" s="130"/>
      <c r="AP142" s="130"/>
      <c r="AQ142" s="130"/>
      <c r="AR142" s="130"/>
      <c r="AS142" s="130"/>
      <c r="BC142" s="250"/>
      <c r="BE142" s="118"/>
    </row>
    <row r="143" spans="34:57" ht="14.15" customHeight="1" x14ac:dyDescent="0.35">
      <c r="AH143" s="113"/>
      <c r="AI143" s="114"/>
      <c r="AJ143" s="130"/>
      <c r="AK143" s="130"/>
      <c r="AL143" s="130"/>
      <c r="AM143" s="130"/>
      <c r="AN143" s="130"/>
      <c r="AO143" s="130"/>
      <c r="AP143" s="130"/>
      <c r="AQ143" s="130"/>
      <c r="AR143" s="130"/>
      <c r="AS143" s="130"/>
      <c r="BC143" s="250"/>
      <c r="BE143" s="118"/>
    </row>
    <row r="144" spans="34:57" ht="14.15" customHeight="1" x14ac:dyDescent="0.35">
      <c r="AH144" s="113"/>
      <c r="AI144" s="114"/>
      <c r="AJ144" s="130"/>
      <c r="AK144" s="130"/>
      <c r="AL144" s="130"/>
      <c r="AM144" s="130"/>
      <c r="AN144" s="130"/>
      <c r="AO144" s="130"/>
      <c r="AP144" s="130"/>
      <c r="AQ144" s="130"/>
      <c r="AR144" s="130"/>
      <c r="AS144" s="130"/>
      <c r="BC144" s="250"/>
      <c r="BE144" s="118"/>
    </row>
    <row r="145" spans="34:57" ht="14.15" customHeight="1" x14ac:dyDescent="0.35">
      <c r="AH145" s="113"/>
      <c r="AI145" s="114"/>
      <c r="AJ145" s="130"/>
      <c r="AK145" s="130"/>
      <c r="AL145" s="130"/>
      <c r="AM145" s="130"/>
      <c r="AN145" s="130"/>
      <c r="AO145" s="130"/>
      <c r="AP145" s="130"/>
      <c r="AQ145" s="130"/>
      <c r="AR145" s="130"/>
      <c r="AS145" s="130"/>
      <c r="BC145" s="250"/>
      <c r="BE145" s="118"/>
    </row>
    <row r="146" spans="34:57" ht="14.15" customHeight="1" x14ac:dyDescent="0.35">
      <c r="AH146" s="113"/>
      <c r="AI146" s="114"/>
      <c r="AJ146" s="130"/>
      <c r="AK146" s="130"/>
      <c r="AL146" s="130"/>
      <c r="AM146" s="130"/>
      <c r="AN146" s="130"/>
      <c r="AO146" s="130"/>
      <c r="AP146" s="130"/>
      <c r="AQ146" s="130"/>
      <c r="AR146" s="130"/>
      <c r="AS146" s="130"/>
      <c r="BC146" s="250"/>
      <c r="BE146" s="118"/>
    </row>
    <row r="147" spans="34:57" ht="14.15" customHeight="1" x14ac:dyDescent="0.35">
      <c r="AH147" s="113"/>
      <c r="AI147" s="114"/>
      <c r="AJ147" s="130"/>
      <c r="AK147" s="130"/>
      <c r="AL147" s="130"/>
      <c r="AM147" s="130"/>
      <c r="AN147" s="130"/>
      <c r="AO147" s="130"/>
      <c r="AP147" s="130"/>
      <c r="AQ147" s="130"/>
      <c r="AR147" s="130"/>
      <c r="AS147" s="130"/>
      <c r="BC147" s="250"/>
      <c r="BE147" s="118"/>
    </row>
    <row r="148" spans="34:57" ht="14.15" customHeight="1" x14ac:dyDescent="0.35">
      <c r="AH148" s="113"/>
      <c r="AI148" s="114"/>
      <c r="AJ148" s="130"/>
      <c r="AK148" s="130"/>
      <c r="AL148" s="130"/>
      <c r="AM148" s="130"/>
      <c r="AN148" s="130"/>
      <c r="AO148" s="130"/>
      <c r="AP148" s="130"/>
      <c r="AQ148" s="130"/>
      <c r="AR148" s="130"/>
      <c r="AS148" s="130"/>
      <c r="BC148" s="250"/>
      <c r="BE148" s="118"/>
    </row>
    <row r="149" spans="34:57" ht="14.15" customHeight="1" x14ac:dyDescent="0.35">
      <c r="AH149" s="113"/>
      <c r="AI149" s="114"/>
      <c r="AJ149" s="130"/>
      <c r="AK149" s="130"/>
      <c r="AL149" s="130"/>
      <c r="AM149" s="130"/>
      <c r="AN149" s="130"/>
      <c r="AO149" s="130"/>
      <c r="AP149" s="130"/>
      <c r="AQ149" s="130"/>
      <c r="AR149" s="130"/>
      <c r="AS149" s="130"/>
      <c r="BC149" s="250"/>
      <c r="BE149" s="118"/>
    </row>
    <row r="150" spans="34:57" ht="14.15" customHeight="1" x14ac:dyDescent="0.35">
      <c r="AH150" s="113"/>
      <c r="AI150" s="114"/>
      <c r="AJ150" s="130"/>
      <c r="AK150" s="130"/>
      <c r="AL150" s="130"/>
      <c r="AM150" s="130"/>
      <c r="AN150" s="130"/>
      <c r="AO150" s="130"/>
      <c r="AP150" s="130"/>
      <c r="AQ150" s="130"/>
      <c r="AR150" s="130"/>
      <c r="AS150" s="130"/>
      <c r="BC150" s="250"/>
      <c r="BE150" s="118"/>
    </row>
    <row r="151" spans="34:57" ht="14.15" customHeight="1" x14ac:dyDescent="0.35">
      <c r="AH151" s="113"/>
      <c r="AI151" s="114"/>
      <c r="AJ151" s="130"/>
      <c r="AK151" s="130"/>
      <c r="AL151" s="130"/>
      <c r="AM151" s="130"/>
      <c r="AN151" s="130"/>
      <c r="AO151" s="130"/>
      <c r="AP151" s="130"/>
      <c r="AQ151" s="130"/>
      <c r="AR151" s="130"/>
      <c r="AS151" s="130"/>
      <c r="BC151" s="250"/>
      <c r="BE151" s="118"/>
    </row>
    <row r="152" spans="34:57" ht="14.15" customHeight="1" x14ac:dyDescent="0.35">
      <c r="AH152" s="113"/>
      <c r="AI152" s="114"/>
      <c r="AJ152" s="130"/>
      <c r="AK152" s="130"/>
      <c r="AL152" s="130"/>
      <c r="AM152" s="130"/>
      <c r="AN152" s="130"/>
      <c r="AO152" s="130"/>
      <c r="AP152" s="130"/>
      <c r="AQ152" s="130"/>
      <c r="AR152" s="130"/>
      <c r="AS152" s="130"/>
      <c r="BC152" s="250"/>
      <c r="BE152" s="118"/>
    </row>
    <row r="153" spans="34:57" ht="14.15" customHeight="1" x14ac:dyDescent="0.35">
      <c r="AH153" s="113"/>
      <c r="AI153" s="114"/>
      <c r="AJ153" s="130"/>
      <c r="AK153" s="130"/>
      <c r="AL153" s="130"/>
      <c r="AM153" s="130"/>
      <c r="AN153" s="130"/>
      <c r="AO153" s="130"/>
      <c r="AP153" s="130"/>
      <c r="AQ153" s="130"/>
      <c r="AR153" s="130"/>
      <c r="AS153" s="130"/>
      <c r="BC153" s="250"/>
      <c r="BE153" s="118"/>
    </row>
    <row r="154" spans="34:57" ht="14.15" customHeight="1" x14ac:dyDescent="0.35">
      <c r="AH154" s="113"/>
      <c r="AI154" s="114"/>
      <c r="AJ154" s="130"/>
      <c r="AK154" s="130"/>
      <c r="AL154" s="130"/>
      <c r="AM154" s="130"/>
      <c r="AN154" s="130"/>
      <c r="AO154" s="130"/>
      <c r="AP154" s="130"/>
      <c r="AQ154" s="130"/>
      <c r="AR154" s="130"/>
      <c r="AS154" s="130"/>
      <c r="BC154" s="250"/>
      <c r="BE154" s="118"/>
    </row>
    <row r="155" spans="34:57" ht="14.15" customHeight="1" x14ac:dyDescent="0.35">
      <c r="AH155" s="113"/>
      <c r="AI155" s="114"/>
      <c r="AJ155" s="130"/>
      <c r="AK155" s="130"/>
      <c r="AL155" s="130"/>
      <c r="AM155" s="130"/>
      <c r="AN155" s="130"/>
      <c r="AO155" s="130"/>
      <c r="AP155" s="130"/>
      <c r="AQ155" s="130"/>
      <c r="AR155" s="130"/>
      <c r="AS155" s="130"/>
      <c r="BC155" s="250"/>
      <c r="BE155" s="118"/>
    </row>
    <row r="156" spans="34:57" ht="14.15" customHeight="1" x14ac:dyDescent="0.35">
      <c r="AH156" s="113"/>
      <c r="AI156" s="114"/>
      <c r="AJ156" s="130"/>
      <c r="AK156" s="130"/>
      <c r="AL156" s="130"/>
      <c r="AM156" s="130"/>
      <c r="AN156" s="130"/>
      <c r="AO156" s="130"/>
      <c r="AP156" s="130"/>
      <c r="AQ156" s="130"/>
      <c r="AR156" s="130"/>
      <c r="AS156" s="130"/>
      <c r="BC156" s="250"/>
      <c r="BE156" s="118"/>
    </row>
    <row r="157" spans="34:57" ht="14.15" customHeight="1" x14ac:dyDescent="0.35">
      <c r="AH157" s="113"/>
      <c r="AI157" s="114"/>
      <c r="AJ157" s="130"/>
      <c r="AK157" s="130"/>
      <c r="AL157" s="130"/>
      <c r="AM157" s="130"/>
      <c r="AN157" s="130"/>
      <c r="AO157" s="130"/>
      <c r="AP157" s="130"/>
      <c r="AQ157" s="130"/>
      <c r="AR157" s="130"/>
      <c r="AS157" s="130"/>
      <c r="BC157" s="250"/>
      <c r="BE157" s="118"/>
    </row>
    <row r="158" spans="34:57" ht="14.15" customHeight="1" x14ac:dyDescent="0.35">
      <c r="AH158" s="113"/>
      <c r="AI158" s="114"/>
      <c r="AJ158" s="130"/>
      <c r="AK158" s="130"/>
      <c r="AL158" s="130"/>
      <c r="AM158" s="130"/>
      <c r="AN158" s="130"/>
      <c r="AO158" s="130"/>
      <c r="AP158" s="130"/>
      <c r="AQ158" s="130"/>
      <c r="AR158" s="130"/>
      <c r="AS158" s="130"/>
      <c r="BC158" s="250"/>
      <c r="BE158" s="118"/>
    </row>
    <row r="159" spans="34:57" ht="14.15" customHeight="1" x14ac:dyDescent="0.35">
      <c r="AH159" s="113"/>
      <c r="AI159" s="114"/>
      <c r="AJ159" s="130"/>
      <c r="AK159" s="130"/>
      <c r="AL159" s="130"/>
      <c r="AM159" s="130"/>
      <c r="AN159" s="130"/>
      <c r="AO159" s="130"/>
      <c r="AP159" s="130"/>
      <c r="AQ159" s="130"/>
      <c r="AR159" s="130"/>
      <c r="AS159" s="130"/>
      <c r="BC159" s="250"/>
      <c r="BE159" s="118"/>
    </row>
    <row r="160" spans="34:57" ht="14.15" customHeight="1" x14ac:dyDescent="0.35">
      <c r="AH160" s="113"/>
      <c r="AI160" s="114"/>
      <c r="AJ160" s="130"/>
      <c r="AK160" s="130"/>
      <c r="AL160" s="130"/>
      <c r="AM160" s="130"/>
      <c r="AN160" s="130"/>
      <c r="AO160" s="130"/>
      <c r="AP160" s="130"/>
      <c r="AQ160" s="130"/>
      <c r="AR160" s="130"/>
      <c r="AS160" s="130"/>
      <c r="BC160" s="250"/>
      <c r="BE160" s="118"/>
    </row>
    <row r="161" spans="34:57" ht="14.15" customHeight="1" x14ac:dyDescent="0.35">
      <c r="AH161" s="113"/>
      <c r="AI161" s="114"/>
      <c r="AJ161" s="130"/>
      <c r="AK161" s="130"/>
      <c r="AL161" s="130"/>
      <c r="AM161" s="130"/>
      <c r="AN161" s="130"/>
      <c r="AO161" s="130"/>
      <c r="AP161" s="130"/>
      <c r="AQ161" s="130"/>
      <c r="AR161" s="130"/>
      <c r="AS161" s="130"/>
      <c r="BC161" s="250"/>
      <c r="BE161" s="118"/>
    </row>
    <row r="162" spans="34:57" ht="14.15" customHeight="1" x14ac:dyDescent="0.35">
      <c r="AH162" s="113"/>
      <c r="AI162" s="114"/>
      <c r="AJ162" s="130"/>
      <c r="AK162" s="130"/>
      <c r="AL162" s="130"/>
      <c r="AM162" s="130"/>
      <c r="AN162" s="130"/>
      <c r="AO162" s="130"/>
      <c r="AP162" s="130"/>
      <c r="AQ162" s="130"/>
      <c r="AR162" s="130"/>
      <c r="AS162" s="130"/>
      <c r="BC162" s="250"/>
      <c r="BE162" s="118"/>
    </row>
    <row r="163" spans="34:57" ht="14.15" customHeight="1" x14ac:dyDescent="0.35">
      <c r="AH163" s="113"/>
      <c r="AI163" s="114"/>
      <c r="AJ163" s="130"/>
      <c r="AK163" s="130"/>
      <c r="AL163" s="130"/>
      <c r="AM163" s="130"/>
      <c r="AN163" s="130"/>
      <c r="AO163" s="130"/>
      <c r="AP163" s="130"/>
      <c r="AQ163" s="130"/>
      <c r="AR163" s="130"/>
      <c r="AS163" s="130"/>
      <c r="BC163" s="250"/>
      <c r="BE163" s="118"/>
    </row>
    <row r="164" spans="34:57" ht="14.15" customHeight="1" x14ac:dyDescent="0.35">
      <c r="AH164" s="113"/>
      <c r="AI164" s="114"/>
      <c r="AJ164" s="130"/>
      <c r="AK164" s="130"/>
      <c r="AL164" s="130"/>
      <c r="AM164" s="130"/>
      <c r="AN164" s="130"/>
      <c r="AO164" s="130"/>
      <c r="AP164" s="130"/>
      <c r="AQ164" s="130"/>
      <c r="AR164" s="130"/>
      <c r="AS164" s="130"/>
      <c r="BC164" s="250"/>
      <c r="BE164" s="118"/>
    </row>
    <row r="165" spans="34:57" ht="14.15" customHeight="1" x14ac:dyDescent="0.35">
      <c r="AH165" s="113"/>
      <c r="AI165" s="114"/>
      <c r="AJ165" s="130"/>
      <c r="AK165" s="130"/>
      <c r="AL165" s="130"/>
      <c r="AM165" s="130"/>
      <c r="AN165" s="130"/>
      <c r="AO165" s="130"/>
      <c r="AP165" s="130"/>
      <c r="AQ165" s="130"/>
      <c r="AR165" s="130"/>
      <c r="AS165" s="130"/>
      <c r="BC165" s="250"/>
      <c r="BE165" s="118"/>
    </row>
    <row r="166" spans="34:57" ht="14.15" customHeight="1" x14ac:dyDescent="0.35">
      <c r="AH166" s="113"/>
      <c r="AI166" s="114"/>
      <c r="AJ166" s="130"/>
      <c r="AK166" s="130"/>
      <c r="AL166" s="130"/>
      <c r="AM166" s="130"/>
      <c r="AN166" s="130"/>
      <c r="AO166" s="130"/>
      <c r="AP166" s="130"/>
      <c r="AQ166" s="130"/>
      <c r="AR166" s="130"/>
      <c r="AS166" s="130"/>
      <c r="BC166" s="250"/>
      <c r="BE166" s="118"/>
    </row>
    <row r="167" spans="34:57" ht="14.15" customHeight="1" x14ac:dyDescent="0.35">
      <c r="AH167" s="113"/>
      <c r="AI167" s="114"/>
      <c r="AJ167" s="130"/>
      <c r="AK167" s="130"/>
      <c r="AL167" s="130"/>
      <c r="AM167" s="130"/>
      <c r="AN167" s="130"/>
      <c r="AO167" s="130"/>
      <c r="AP167" s="130"/>
      <c r="AQ167" s="130"/>
      <c r="AR167" s="130"/>
      <c r="AS167" s="130"/>
      <c r="BC167" s="250"/>
      <c r="BE167" s="118"/>
    </row>
    <row r="168" spans="34:57" ht="14.15" customHeight="1" x14ac:dyDescent="0.35">
      <c r="AH168" s="113"/>
      <c r="AI168" s="114"/>
      <c r="AJ168" s="130"/>
      <c r="AK168" s="130"/>
      <c r="AL168" s="130"/>
      <c r="AM168" s="130"/>
      <c r="AN168" s="130"/>
      <c r="AO168" s="130"/>
      <c r="AP168" s="130"/>
      <c r="AQ168" s="130"/>
      <c r="AR168" s="130"/>
      <c r="AS168" s="130"/>
      <c r="BC168" s="250"/>
      <c r="BE168" s="118"/>
    </row>
    <row r="169" spans="34:57" ht="14.15" customHeight="1" x14ac:dyDescent="0.35">
      <c r="AH169" s="113"/>
      <c r="AI169" s="114"/>
      <c r="AJ169" s="130"/>
      <c r="AK169" s="130"/>
      <c r="AL169" s="130"/>
      <c r="AM169" s="130"/>
      <c r="AN169" s="130"/>
      <c r="AO169" s="130"/>
      <c r="AP169" s="130"/>
      <c r="AQ169" s="130"/>
      <c r="AR169" s="130"/>
      <c r="AS169" s="130"/>
      <c r="BC169" s="250"/>
      <c r="BE169" s="118"/>
    </row>
    <row r="170" spans="34:57" ht="14.15" customHeight="1" x14ac:dyDescent="0.35">
      <c r="AH170" s="113"/>
      <c r="AI170" s="114"/>
      <c r="AJ170" s="130"/>
      <c r="AK170" s="130"/>
      <c r="AL170" s="130"/>
      <c r="AM170" s="130"/>
      <c r="AN170" s="130"/>
      <c r="AO170" s="130"/>
      <c r="AP170" s="130"/>
      <c r="AQ170" s="130"/>
      <c r="AR170" s="130"/>
      <c r="AS170" s="130"/>
      <c r="BC170" s="250"/>
      <c r="BE170" s="118"/>
    </row>
    <row r="171" spans="34:57" ht="14.15" customHeight="1" x14ac:dyDescent="0.35">
      <c r="AH171" s="113"/>
      <c r="AI171" s="114"/>
      <c r="AJ171" s="130"/>
      <c r="AK171" s="130"/>
      <c r="AL171" s="130"/>
      <c r="AM171" s="130"/>
      <c r="AN171" s="130"/>
      <c r="AO171" s="130"/>
      <c r="AP171" s="130"/>
      <c r="AQ171" s="130"/>
      <c r="AR171" s="130"/>
      <c r="AS171" s="130"/>
      <c r="BC171" s="250"/>
      <c r="BE171" s="118"/>
    </row>
    <row r="172" spans="34:57" ht="14.15" customHeight="1" x14ac:dyDescent="0.35">
      <c r="AH172" s="113"/>
      <c r="AI172" s="114"/>
      <c r="AJ172" s="130"/>
      <c r="AK172" s="130"/>
      <c r="AL172" s="130"/>
      <c r="AM172" s="130"/>
      <c r="AN172" s="130"/>
      <c r="AO172" s="130"/>
      <c r="AP172" s="130"/>
      <c r="AQ172" s="130"/>
      <c r="AR172" s="130"/>
      <c r="AS172" s="130"/>
      <c r="BC172" s="250"/>
      <c r="BE172" s="118"/>
    </row>
    <row r="173" spans="34:57" ht="14.15" customHeight="1" x14ac:dyDescent="0.35">
      <c r="AH173" s="113"/>
      <c r="AI173" s="114"/>
      <c r="AJ173" s="130"/>
      <c r="AK173" s="130"/>
      <c r="AL173" s="130"/>
      <c r="AM173" s="130"/>
      <c r="AN173" s="130"/>
      <c r="AO173" s="130"/>
      <c r="AP173" s="130"/>
      <c r="AQ173" s="130"/>
      <c r="AR173" s="130"/>
      <c r="AS173" s="130"/>
      <c r="BC173" s="250"/>
      <c r="BE173" s="118"/>
    </row>
    <row r="174" spans="34:57" ht="14.15" customHeight="1" x14ac:dyDescent="0.35">
      <c r="AH174" s="113"/>
      <c r="AI174" s="114"/>
      <c r="AJ174" s="130"/>
      <c r="AK174" s="130"/>
      <c r="AL174" s="130"/>
      <c r="AM174" s="130"/>
      <c r="AN174" s="130"/>
      <c r="AO174" s="130"/>
      <c r="AP174" s="130"/>
      <c r="AQ174" s="130"/>
      <c r="AR174" s="130"/>
      <c r="AS174" s="130"/>
      <c r="BC174" s="250"/>
      <c r="BE174" s="118"/>
    </row>
    <row r="175" spans="34:57" ht="14.15" customHeight="1" x14ac:dyDescent="0.35">
      <c r="AH175" s="113"/>
      <c r="AI175" s="114"/>
      <c r="AJ175" s="130"/>
      <c r="AK175" s="130"/>
      <c r="AL175" s="130"/>
      <c r="AM175" s="130"/>
      <c r="AN175" s="130"/>
      <c r="AO175" s="130"/>
      <c r="AP175" s="130"/>
      <c r="AQ175" s="130"/>
      <c r="AR175" s="130"/>
      <c r="AS175" s="130"/>
      <c r="BC175" s="250"/>
      <c r="BE175" s="118"/>
    </row>
    <row r="176" spans="34:57" ht="14.15" customHeight="1" x14ac:dyDescent="0.35">
      <c r="AH176" s="113"/>
      <c r="AI176" s="114"/>
      <c r="AJ176" s="130"/>
      <c r="AK176" s="130"/>
      <c r="AL176" s="130"/>
      <c r="AM176" s="130"/>
      <c r="AN176" s="130"/>
      <c r="AO176" s="130"/>
      <c r="AP176" s="130"/>
      <c r="AQ176" s="130"/>
      <c r="AR176" s="130"/>
      <c r="AS176" s="130"/>
      <c r="BC176" s="250"/>
      <c r="BE176" s="118"/>
    </row>
    <row r="177" spans="34:57" ht="14.15" customHeight="1" x14ac:dyDescent="0.35">
      <c r="AH177" s="113"/>
      <c r="AI177" s="114"/>
      <c r="AJ177" s="130"/>
      <c r="AK177" s="130"/>
      <c r="AL177" s="130"/>
      <c r="AM177" s="130"/>
      <c r="AN177" s="130"/>
      <c r="AO177" s="130"/>
      <c r="AP177" s="130"/>
      <c r="AQ177" s="130"/>
      <c r="AR177" s="130"/>
      <c r="AS177" s="130"/>
      <c r="BC177" s="250"/>
      <c r="BE177" s="118"/>
    </row>
    <row r="178" spans="34:57" ht="14.15" customHeight="1" x14ac:dyDescent="0.35">
      <c r="AH178" s="113"/>
      <c r="AI178" s="114"/>
      <c r="AJ178" s="130"/>
      <c r="AK178" s="130"/>
      <c r="AL178" s="130"/>
      <c r="AM178" s="130"/>
      <c r="AN178" s="130"/>
      <c r="AO178" s="130"/>
      <c r="AP178" s="130"/>
      <c r="AQ178" s="130"/>
      <c r="AR178" s="130"/>
      <c r="AS178" s="130"/>
      <c r="BC178" s="250"/>
      <c r="BE178" s="118"/>
    </row>
    <row r="179" spans="34:57" ht="14.15" customHeight="1" x14ac:dyDescent="0.35">
      <c r="AH179" s="113"/>
      <c r="AI179" s="114"/>
      <c r="AJ179" s="130"/>
      <c r="AK179" s="130"/>
      <c r="AL179" s="130"/>
      <c r="AM179" s="130"/>
      <c r="AN179" s="130"/>
      <c r="AO179" s="130"/>
      <c r="AP179" s="130"/>
      <c r="AQ179" s="130"/>
      <c r="AR179" s="130"/>
      <c r="AS179" s="130"/>
      <c r="BC179" s="250"/>
      <c r="BE179" s="118"/>
    </row>
    <row r="180" spans="34:57" ht="14.15" customHeight="1" x14ac:dyDescent="0.35">
      <c r="AH180" s="113"/>
      <c r="AI180" s="114"/>
      <c r="AJ180" s="130"/>
      <c r="AK180" s="130"/>
      <c r="AL180" s="130"/>
      <c r="AM180" s="130"/>
      <c r="AN180" s="130"/>
      <c r="AO180" s="130"/>
      <c r="AP180" s="130"/>
      <c r="AQ180" s="130"/>
      <c r="AR180" s="130"/>
      <c r="AS180" s="130"/>
      <c r="BC180" s="250"/>
      <c r="BE180" s="118"/>
    </row>
    <row r="181" spans="34:57" ht="14.15" customHeight="1" x14ac:dyDescent="0.35">
      <c r="AH181" s="113"/>
      <c r="AI181" s="114"/>
      <c r="AJ181" s="130"/>
      <c r="AK181" s="130"/>
      <c r="AL181" s="130"/>
      <c r="AM181" s="130"/>
      <c r="AN181" s="130"/>
      <c r="AO181" s="130"/>
      <c r="AP181" s="130"/>
      <c r="AQ181" s="130"/>
      <c r="AR181" s="130"/>
      <c r="AS181" s="130"/>
      <c r="BC181" s="250"/>
      <c r="BE181" s="118"/>
    </row>
    <row r="182" spans="34:57" ht="14.15" customHeight="1" x14ac:dyDescent="0.35">
      <c r="AH182" s="113"/>
      <c r="AI182" s="114"/>
      <c r="AJ182" s="130"/>
      <c r="AK182" s="130"/>
      <c r="AL182" s="130"/>
      <c r="AM182" s="130"/>
      <c r="AN182" s="130"/>
      <c r="AO182" s="130"/>
      <c r="AP182" s="130"/>
      <c r="AQ182" s="130"/>
      <c r="AR182" s="130"/>
      <c r="AS182" s="130"/>
      <c r="BC182" s="250"/>
      <c r="BE182" s="118"/>
    </row>
    <row r="183" spans="34:57" ht="14.15" customHeight="1" x14ac:dyDescent="0.35">
      <c r="AH183" s="113"/>
      <c r="AI183" s="114"/>
      <c r="AJ183" s="130"/>
      <c r="AK183" s="130"/>
      <c r="AL183" s="130"/>
      <c r="AM183" s="130"/>
      <c r="AN183" s="130"/>
      <c r="AO183" s="130"/>
      <c r="AP183" s="130"/>
      <c r="AQ183" s="130"/>
      <c r="AR183" s="130"/>
      <c r="AS183" s="130"/>
      <c r="BC183" s="250"/>
      <c r="BE183" s="118"/>
    </row>
    <row r="184" spans="34:57" ht="14.15" customHeight="1" x14ac:dyDescent="0.35">
      <c r="AH184" s="113"/>
      <c r="AI184" s="114"/>
      <c r="AJ184" s="130"/>
      <c r="AK184" s="130"/>
      <c r="AL184" s="130"/>
      <c r="AM184" s="130"/>
      <c r="AN184" s="130"/>
      <c r="AO184" s="130"/>
      <c r="AP184" s="130"/>
      <c r="AQ184" s="130"/>
      <c r="AR184" s="130"/>
      <c r="AS184" s="130"/>
      <c r="BC184" s="250"/>
      <c r="BE184" s="118"/>
    </row>
    <row r="185" spans="34:57" ht="14.15" customHeight="1" x14ac:dyDescent="0.35">
      <c r="AH185" s="113"/>
      <c r="AI185" s="114"/>
      <c r="AJ185" s="130"/>
      <c r="AK185" s="130"/>
      <c r="AL185" s="130"/>
      <c r="AM185" s="130"/>
      <c r="AN185" s="130"/>
      <c r="AO185" s="130"/>
      <c r="AP185" s="130"/>
      <c r="AQ185" s="130"/>
      <c r="AR185" s="130"/>
      <c r="AS185" s="130"/>
      <c r="BC185" s="250"/>
      <c r="BE185" s="118"/>
    </row>
    <row r="186" spans="34:57" ht="14.15" customHeight="1" x14ac:dyDescent="0.35">
      <c r="AH186" s="113"/>
      <c r="AI186" s="114"/>
      <c r="AJ186" s="130"/>
      <c r="AK186" s="130"/>
      <c r="AL186" s="130"/>
      <c r="AM186" s="130"/>
      <c r="AN186" s="130"/>
      <c r="AO186" s="130"/>
      <c r="AP186" s="130"/>
      <c r="AQ186" s="130"/>
      <c r="AR186" s="130"/>
      <c r="AS186" s="130"/>
      <c r="BC186" s="250"/>
      <c r="BE186" s="118"/>
    </row>
    <row r="187" spans="34:57" ht="14.15" customHeight="1" x14ac:dyDescent="0.35">
      <c r="AH187" s="113"/>
      <c r="AI187" s="114"/>
      <c r="AJ187" s="130"/>
      <c r="AK187" s="130"/>
      <c r="AL187" s="130"/>
      <c r="AM187" s="130"/>
      <c r="AN187" s="130"/>
      <c r="AO187" s="130"/>
      <c r="AP187" s="130"/>
      <c r="AQ187" s="130"/>
      <c r="AR187" s="130"/>
      <c r="AS187" s="130"/>
      <c r="BC187" s="250"/>
      <c r="BE187" s="118"/>
    </row>
    <row r="188" spans="34:57" ht="14.15" customHeight="1" x14ac:dyDescent="0.35">
      <c r="AH188" s="113"/>
      <c r="AI188" s="114"/>
      <c r="AJ188" s="130"/>
      <c r="AK188" s="130"/>
      <c r="AL188" s="130"/>
      <c r="AM188" s="130"/>
      <c r="AN188" s="130"/>
      <c r="AO188" s="130"/>
      <c r="AP188" s="130"/>
      <c r="AQ188" s="130"/>
      <c r="AR188" s="130"/>
      <c r="AS188" s="130"/>
      <c r="BC188" s="250"/>
      <c r="BE188" s="118"/>
    </row>
    <row r="189" spans="34:57" ht="14.15" customHeight="1" x14ac:dyDescent="0.35">
      <c r="AH189" s="113"/>
      <c r="AI189" s="114"/>
      <c r="AJ189" s="130"/>
      <c r="AK189" s="130"/>
      <c r="AL189" s="130"/>
      <c r="AM189" s="130"/>
      <c r="AN189" s="130"/>
      <c r="AO189" s="130"/>
      <c r="AP189" s="130"/>
      <c r="AQ189" s="130"/>
      <c r="AR189" s="130"/>
      <c r="AS189" s="130"/>
      <c r="BC189" s="250"/>
      <c r="BE189" s="118"/>
    </row>
    <row r="190" spans="34:57" ht="14.15" customHeight="1" x14ac:dyDescent="0.35">
      <c r="AH190" s="113"/>
      <c r="AI190" s="114"/>
      <c r="AJ190" s="130"/>
      <c r="AK190" s="130"/>
      <c r="AL190" s="130"/>
      <c r="AM190" s="130"/>
      <c r="AN190" s="130"/>
      <c r="AO190" s="130"/>
      <c r="AP190" s="130"/>
      <c r="AQ190" s="130"/>
      <c r="AR190" s="130"/>
      <c r="AS190" s="130"/>
      <c r="BC190" s="250"/>
      <c r="BE190" s="118"/>
    </row>
    <row r="191" spans="34:57" ht="14.15" customHeight="1" x14ac:dyDescent="0.35">
      <c r="AH191" s="113"/>
      <c r="AI191" s="114"/>
      <c r="AJ191" s="130"/>
      <c r="AK191" s="130"/>
      <c r="AL191" s="130"/>
      <c r="AM191" s="130"/>
      <c r="AN191" s="130"/>
      <c r="AO191" s="130"/>
      <c r="AP191" s="130"/>
      <c r="AQ191" s="130"/>
      <c r="AR191" s="130"/>
      <c r="AS191" s="130"/>
      <c r="BC191" s="250"/>
      <c r="BE191" s="118"/>
    </row>
    <row r="192" spans="34:57" ht="14.15" customHeight="1" x14ac:dyDescent="0.35">
      <c r="AH192" s="113"/>
      <c r="AI192" s="114"/>
      <c r="AJ192" s="130"/>
      <c r="AK192" s="130"/>
      <c r="AL192" s="130"/>
      <c r="AM192" s="130"/>
      <c r="AN192" s="130"/>
      <c r="AO192" s="130"/>
      <c r="AP192" s="130"/>
      <c r="AQ192" s="130"/>
      <c r="AR192" s="130"/>
      <c r="AS192" s="130"/>
      <c r="BC192" s="250"/>
      <c r="BE192" s="118"/>
    </row>
    <row r="193" spans="34:57" ht="14.15" customHeight="1" x14ac:dyDescent="0.35">
      <c r="AH193" s="113"/>
      <c r="AI193" s="114"/>
      <c r="AJ193" s="130"/>
      <c r="AK193" s="130"/>
      <c r="AL193" s="130"/>
      <c r="AM193" s="130"/>
      <c r="AN193" s="130"/>
      <c r="AO193" s="130"/>
      <c r="AP193" s="130"/>
      <c r="AQ193" s="130"/>
      <c r="AR193" s="130"/>
      <c r="AS193" s="130"/>
      <c r="BC193" s="250"/>
      <c r="BE193" s="118"/>
    </row>
    <row r="194" spans="34:57" ht="14.15" customHeight="1" x14ac:dyDescent="0.35">
      <c r="AH194" s="113"/>
      <c r="AI194" s="114"/>
      <c r="AJ194" s="130"/>
      <c r="AK194" s="130"/>
      <c r="AL194" s="130"/>
      <c r="AM194" s="130"/>
      <c r="AN194" s="130"/>
      <c r="AO194" s="130"/>
      <c r="AP194" s="130"/>
      <c r="AQ194" s="130"/>
      <c r="AR194" s="130"/>
      <c r="AS194" s="130"/>
      <c r="BC194" s="250"/>
      <c r="BE194" s="118"/>
    </row>
    <row r="195" spans="34:57" ht="14.15" customHeight="1" x14ac:dyDescent="0.35">
      <c r="AH195" s="113"/>
      <c r="AI195" s="114"/>
      <c r="AJ195" s="130"/>
      <c r="AK195" s="130"/>
      <c r="AL195" s="130"/>
      <c r="AM195" s="130"/>
      <c r="AN195" s="130"/>
      <c r="AO195" s="130"/>
      <c r="AP195" s="130"/>
      <c r="AQ195" s="130"/>
      <c r="AR195" s="130"/>
      <c r="AS195" s="130"/>
      <c r="BC195" s="250"/>
      <c r="BE195" s="118"/>
    </row>
    <row r="196" spans="34:57" ht="14.15" customHeight="1" x14ac:dyDescent="0.35">
      <c r="AH196" s="113"/>
      <c r="AI196" s="114"/>
      <c r="AJ196" s="130"/>
      <c r="AK196" s="130"/>
      <c r="AL196" s="130"/>
      <c r="AM196" s="130"/>
      <c r="AN196" s="130"/>
      <c r="AO196" s="130"/>
      <c r="AP196" s="130"/>
      <c r="AQ196" s="130"/>
      <c r="AR196" s="130"/>
      <c r="AS196" s="130"/>
      <c r="BC196" s="250"/>
      <c r="BE196" s="118"/>
    </row>
    <row r="197" spans="34:57" ht="14.15" customHeight="1" x14ac:dyDescent="0.35">
      <c r="AH197" s="113"/>
      <c r="AI197" s="114"/>
      <c r="AJ197" s="130"/>
      <c r="AK197" s="130"/>
      <c r="AL197" s="130"/>
      <c r="AM197" s="130"/>
      <c r="AN197" s="130"/>
      <c r="AO197" s="130"/>
      <c r="AP197" s="130"/>
      <c r="AQ197" s="130"/>
      <c r="AR197" s="130"/>
      <c r="AS197" s="130"/>
      <c r="BC197" s="250"/>
      <c r="BE197" s="118"/>
    </row>
    <row r="198" spans="34:57" ht="14.15" customHeight="1" x14ac:dyDescent="0.35">
      <c r="AH198" s="113"/>
      <c r="AI198" s="114"/>
      <c r="AJ198" s="130"/>
      <c r="AK198" s="130"/>
      <c r="AL198" s="130"/>
      <c r="AM198" s="130"/>
      <c r="AN198" s="130"/>
      <c r="AO198" s="130"/>
      <c r="AP198" s="130"/>
      <c r="AQ198" s="130"/>
      <c r="AR198" s="130"/>
      <c r="AS198" s="130"/>
      <c r="BC198" s="250"/>
      <c r="BE198" s="118"/>
    </row>
    <row r="199" spans="34:57" ht="14.15" customHeight="1" x14ac:dyDescent="0.35">
      <c r="AH199" s="113"/>
      <c r="AI199" s="114"/>
      <c r="AJ199" s="130"/>
      <c r="AK199" s="130"/>
      <c r="AL199" s="130"/>
      <c r="AM199" s="130"/>
      <c r="AN199" s="130"/>
      <c r="AO199" s="130"/>
      <c r="AP199" s="130"/>
      <c r="AQ199" s="130"/>
      <c r="AR199" s="130"/>
      <c r="AS199" s="130"/>
      <c r="BC199" s="250"/>
      <c r="BE199" s="118"/>
    </row>
    <row r="200" spans="34:57" ht="14.15" customHeight="1" x14ac:dyDescent="0.35">
      <c r="AH200" s="113"/>
      <c r="AI200" s="114"/>
      <c r="AJ200" s="130"/>
      <c r="AK200" s="130"/>
      <c r="AL200" s="130"/>
      <c r="AM200" s="130"/>
      <c r="AN200" s="130"/>
      <c r="AO200" s="130"/>
      <c r="AP200" s="130"/>
      <c r="AQ200" s="130"/>
      <c r="AR200" s="130"/>
      <c r="AS200" s="130"/>
      <c r="BC200" s="250"/>
      <c r="BE200" s="118"/>
    </row>
    <row r="201" spans="34:57" ht="14.15" customHeight="1" x14ac:dyDescent="0.35">
      <c r="AH201" s="113"/>
      <c r="AI201" s="114"/>
      <c r="AJ201" s="130"/>
      <c r="AK201" s="130"/>
      <c r="AL201" s="130"/>
      <c r="AM201" s="130"/>
      <c r="AN201" s="130"/>
      <c r="AO201" s="130"/>
      <c r="AP201" s="130"/>
      <c r="AQ201" s="130"/>
      <c r="AR201" s="130"/>
      <c r="AS201" s="130"/>
      <c r="BC201" s="250"/>
      <c r="BE201" s="118"/>
    </row>
    <row r="202" spans="34:57" ht="14.15" customHeight="1" x14ac:dyDescent="0.35">
      <c r="AH202" s="113"/>
      <c r="AI202" s="114"/>
      <c r="AJ202" s="130"/>
      <c r="AK202" s="130"/>
      <c r="AL202" s="130"/>
      <c r="AM202" s="130"/>
      <c r="AN202" s="130"/>
      <c r="AO202" s="130"/>
      <c r="AP202" s="130"/>
      <c r="AQ202" s="130"/>
      <c r="AR202" s="130"/>
      <c r="AS202" s="130"/>
      <c r="BC202" s="250"/>
      <c r="BE202" s="118"/>
    </row>
    <row r="203" spans="34:57" ht="14.15" customHeight="1" x14ac:dyDescent="0.35">
      <c r="AH203" s="113"/>
      <c r="AI203" s="114"/>
      <c r="AJ203" s="130"/>
      <c r="AK203" s="130"/>
      <c r="AL203" s="130"/>
      <c r="AM203" s="130"/>
      <c r="AN203" s="130"/>
      <c r="AO203" s="130"/>
      <c r="AP203" s="130"/>
      <c r="AQ203" s="130"/>
      <c r="AR203" s="130"/>
      <c r="AS203" s="130"/>
      <c r="BC203" s="250"/>
      <c r="BE203" s="118"/>
    </row>
    <row r="204" spans="34:57" ht="14.15" customHeight="1" x14ac:dyDescent="0.35">
      <c r="AH204" s="113"/>
      <c r="AI204" s="114"/>
      <c r="AJ204" s="130"/>
      <c r="AK204" s="130"/>
      <c r="AL204" s="130"/>
      <c r="AM204" s="130"/>
      <c r="AN204" s="130"/>
      <c r="AO204" s="130"/>
      <c r="AP204" s="130"/>
      <c r="AQ204" s="130"/>
      <c r="AR204" s="130"/>
      <c r="AS204" s="130"/>
      <c r="BC204" s="250"/>
      <c r="BE204" s="118"/>
    </row>
    <row r="205" spans="34:57" ht="14.15" customHeight="1" x14ac:dyDescent="0.35">
      <c r="AH205" s="113"/>
      <c r="AI205" s="114"/>
      <c r="AJ205" s="130"/>
      <c r="AK205" s="130"/>
      <c r="AL205" s="130"/>
      <c r="AM205" s="130"/>
      <c r="AN205" s="130"/>
      <c r="AO205" s="130"/>
      <c r="AP205" s="130"/>
      <c r="AQ205" s="130"/>
      <c r="AR205" s="130"/>
      <c r="AS205" s="130"/>
      <c r="BC205" s="250"/>
      <c r="BE205" s="118"/>
    </row>
    <row r="206" spans="34:57" ht="14.15" customHeight="1" x14ac:dyDescent="0.35">
      <c r="AH206" s="113"/>
      <c r="AI206" s="114"/>
      <c r="AJ206" s="130"/>
      <c r="AK206" s="130"/>
      <c r="AL206" s="130"/>
      <c r="AM206" s="130"/>
      <c r="AN206" s="130"/>
      <c r="AO206" s="130"/>
      <c r="AP206" s="130"/>
      <c r="AQ206" s="130"/>
      <c r="AR206" s="130"/>
      <c r="AS206" s="130"/>
      <c r="BC206" s="250"/>
      <c r="BE206" s="118"/>
    </row>
    <row r="207" spans="34:57" ht="14.15" customHeight="1" x14ac:dyDescent="0.35">
      <c r="AH207" s="113"/>
      <c r="AI207" s="114"/>
      <c r="AJ207" s="130"/>
      <c r="AK207" s="130"/>
      <c r="AL207" s="130"/>
      <c r="AM207" s="130"/>
      <c r="AN207" s="130"/>
      <c r="AO207" s="130"/>
      <c r="AP207" s="130"/>
      <c r="AQ207" s="130"/>
      <c r="AR207" s="130"/>
      <c r="AS207" s="130"/>
      <c r="BC207" s="250"/>
      <c r="BE207" s="118"/>
    </row>
    <row r="208" spans="34:57" ht="14.15" customHeight="1" x14ac:dyDescent="0.35">
      <c r="AH208" s="113"/>
      <c r="AI208" s="114"/>
      <c r="AJ208" s="130"/>
      <c r="AK208" s="130"/>
      <c r="AL208" s="130"/>
      <c r="AM208" s="130"/>
      <c r="AN208" s="130"/>
      <c r="AO208" s="130"/>
      <c r="AP208" s="130"/>
      <c r="AQ208" s="130"/>
      <c r="AR208" s="130"/>
      <c r="AS208" s="130"/>
      <c r="BC208" s="250"/>
      <c r="BE208" s="118"/>
    </row>
    <row r="209" spans="34:57" ht="14.15" customHeight="1" x14ac:dyDescent="0.35">
      <c r="AH209" s="113"/>
      <c r="AI209" s="114"/>
      <c r="AJ209" s="130"/>
      <c r="AK209" s="130"/>
      <c r="AL209" s="130"/>
      <c r="AM209" s="130"/>
      <c r="AN209" s="130"/>
      <c r="AO209" s="130"/>
      <c r="AP209" s="130"/>
      <c r="AQ209" s="130"/>
      <c r="AR209" s="130"/>
      <c r="AS209" s="130"/>
      <c r="BC209" s="250"/>
      <c r="BE209" s="118"/>
    </row>
    <row r="210" spans="34:57" ht="14.15" customHeight="1" x14ac:dyDescent="0.35">
      <c r="AH210" s="113"/>
      <c r="AI210" s="114"/>
      <c r="AJ210" s="130"/>
      <c r="AK210" s="130"/>
      <c r="AL210" s="130"/>
      <c r="AM210" s="130"/>
      <c r="AN210" s="130"/>
      <c r="AO210" s="130"/>
      <c r="AP210" s="130"/>
      <c r="AQ210" s="130"/>
      <c r="AR210" s="130"/>
      <c r="AS210" s="130"/>
      <c r="BC210" s="250"/>
      <c r="BE210" s="118"/>
    </row>
    <row r="211" spans="34:57" ht="14.15" customHeight="1" x14ac:dyDescent="0.35">
      <c r="AH211" s="113"/>
      <c r="AI211" s="114"/>
      <c r="AJ211" s="130"/>
      <c r="AK211" s="130"/>
      <c r="AL211" s="130"/>
      <c r="AM211" s="130"/>
      <c r="AN211" s="130"/>
      <c r="AO211" s="130"/>
      <c r="AP211" s="130"/>
      <c r="AQ211" s="130"/>
      <c r="AR211" s="130"/>
      <c r="AS211" s="130"/>
      <c r="BC211" s="250"/>
      <c r="BE211" s="118"/>
    </row>
    <row r="212" spans="34:57" ht="14.15" customHeight="1" x14ac:dyDescent="0.35">
      <c r="AH212" s="113"/>
      <c r="AI212" s="114"/>
      <c r="AJ212" s="130"/>
      <c r="AK212" s="130"/>
      <c r="AL212" s="130"/>
      <c r="AM212" s="130"/>
      <c r="AN212" s="130"/>
      <c r="AO212" s="130"/>
      <c r="AP212" s="130"/>
      <c r="AQ212" s="130"/>
      <c r="AR212" s="130"/>
      <c r="AS212" s="130"/>
      <c r="BC212" s="250"/>
      <c r="BE212" s="118"/>
    </row>
    <row r="213" spans="34:57" ht="14.15" customHeight="1" x14ac:dyDescent="0.35">
      <c r="AH213" s="113"/>
      <c r="AI213" s="114"/>
      <c r="AJ213" s="130"/>
      <c r="AK213" s="130"/>
      <c r="AL213" s="130"/>
      <c r="AM213" s="130"/>
      <c r="AN213" s="130"/>
      <c r="AO213" s="130"/>
      <c r="AP213" s="130"/>
      <c r="AQ213" s="130"/>
      <c r="AR213" s="130"/>
      <c r="AS213" s="130"/>
      <c r="BC213" s="250"/>
      <c r="BE213" s="118"/>
    </row>
    <row r="214" spans="34:57" ht="14.15" customHeight="1" x14ac:dyDescent="0.35">
      <c r="AH214" s="113"/>
      <c r="AI214" s="114"/>
      <c r="AJ214" s="130"/>
      <c r="AK214" s="130"/>
      <c r="AL214" s="130"/>
      <c r="AM214" s="130"/>
      <c r="AN214" s="130"/>
      <c r="AO214" s="130"/>
      <c r="AP214" s="130"/>
      <c r="AQ214" s="130"/>
      <c r="AR214" s="130"/>
      <c r="AS214" s="130"/>
      <c r="BC214" s="250"/>
      <c r="BE214" s="118"/>
    </row>
    <row r="215" spans="34:57" ht="14.15" customHeight="1" x14ac:dyDescent="0.35">
      <c r="AH215" s="113"/>
      <c r="AI215" s="114"/>
      <c r="AJ215" s="130"/>
      <c r="AK215" s="130"/>
      <c r="AL215" s="130"/>
      <c r="AM215" s="130"/>
      <c r="AN215" s="130"/>
      <c r="AO215" s="130"/>
      <c r="AP215" s="130"/>
      <c r="AQ215" s="130"/>
      <c r="AR215" s="130"/>
      <c r="AS215" s="130"/>
      <c r="BC215" s="250"/>
      <c r="BE215" s="118"/>
    </row>
    <row r="216" spans="34:57" ht="14.15" customHeight="1" x14ac:dyDescent="0.35">
      <c r="AH216" s="113"/>
      <c r="AI216" s="114"/>
      <c r="AJ216" s="130"/>
      <c r="AK216" s="130"/>
      <c r="AL216" s="130"/>
      <c r="AM216" s="130"/>
      <c r="AN216" s="130"/>
      <c r="AO216" s="130"/>
      <c r="AP216" s="130"/>
      <c r="AQ216" s="130"/>
      <c r="AR216" s="130"/>
      <c r="AS216" s="130"/>
      <c r="BC216" s="250"/>
      <c r="BE216" s="118"/>
    </row>
    <row r="217" spans="34:57" ht="14.15" customHeight="1" x14ac:dyDescent="0.35">
      <c r="AH217" s="113"/>
      <c r="AI217" s="114"/>
      <c r="AJ217" s="130"/>
      <c r="AK217" s="130"/>
      <c r="AL217" s="130"/>
      <c r="AM217" s="130"/>
      <c r="AN217" s="130"/>
      <c r="AO217" s="130"/>
      <c r="AP217" s="130"/>
      <c r="AQ217" s="130"/>
      <c r="AR217" s="130"/>
      <c r="AS217" s="130"/>
      <c r="BC217" s="250"/>
      <c r="BE217" s="118"/>
    </row>
    <row r="218" spans="34:57" ht="14.15" customHeight="1" x14ac:dyDescent="0.35">
      <c r="AH218" s="113"/>
      <c r="AI218" s="114"/>
      <c r="AJ218" s="130"/>
      <c r="AK218" s="130"/>
      <c r="AL218" s="130"/>
      <c r="AM218" s="130"/>
      <c r="AN218" s="130"/>
      <c r="AO218" s="130"/>
      <c r="AP218" s="130"/>
      <c r="AQ218" s="130"/>
      <c r="AR218" s="130"/>
      <c r="AS218" s="130"/>
      <c r="BC218" s="250"/>
      <c r="BE218" s="118"/>
    </row>
    <row r="219" spans="34:57" ht="14.15" customHeight="1" x14ac:dyDescent="0.35">
      <c r="AH219" s="113"/>
      <c r="AI219" s="114"/>
      <c r="AJ219" s="130"/>
      <c r="AK219" s="130"/>
      <c r="AL219" s="130"/>
      <c r="AM219" s="130"/>
      <c r="AN219" s="130"/>
      <c r="AO219" s="130"/>
      <c r="AP219" s="130"/>
      <c r="AQ219" s="130"/>
      <c r="AR219" s="130"/>
      <c r="AS219" s="130"/>
      <c r="BC219" s="250"/>
      <c r="BE219" s="118"/>
    </row>
    <row r="220" spans="34:57" ht="14.15" customHeight="1" x14ac:dyDescent="0.35">
      <c r="AH220" s="113"/>
      <c r="AI220" s="114"/>
      <c r="AJ220" s="130"/>
      <c r="AK220" s="130"/>
      <c r="AL220" s="130"/>
      <c r="AM220" s="130"/>
      <c r="AN220" s="130"/>
      <c r="AO220" s="130"/>
      <c r="AP220" s="130"/>
      <c r="AQ220" s="130"/>
      <c r="AR220" s="130"/>
      <c r="AS220" s="130"/>
      <c r="BC220" s="250"/>
      <c r="BE220" s="118"/>
    </row>
    <row r="221" spans="34:57" ht="14.15" customHeight="1" x14ac:dyDescent="0.35">
      <c r="AH221" s="113"/>
      <c r="AI221" s="114"/>
      <c r="AJ221" s="130"/>
      <c r="AK221" s="130"/>
      <c r="AL221" s="130"/>
      <c r="AM221" s="130"/>
      <c r="AN221" s="130"/>
      <c r="AO221" s="130"/>
      <c r="AP221" s="130"/>
      <c r="AQ221" s="130"/>
      <c r="AR221" s="130"/>
      <c r="AS221" s="130"/>
      <c r="BC221" s="250"/>
      <c r="BE221" s="118"/>
    </row>
    <row r="222" spans="34:57" ht="14.15" customHeight="1" x14ac:dyDescent="0.35">
      <c r="AH222" s="113"/>
      <c r="AI222" s="114"/>
      <c r="AJ222" s="130"/>
      <c r="AK222" s="130"/>
      <c r="AL222" s="130"/>
      <c r="AM222" s="130"/>
      <c r="AN222" s="130"/>
      <c r="AO222" s="130"/>
      <c r="AP222" s="130"/>
      <c r="AQ222" s="130"/>
      <c r="AR222" s="130"/>
      <c r="AS222" s="130"/>
      <c r="BC222" s="250"/>
      <c r="BE222" s="118"/>
    </row>
    <row r="223" spans="34:57" ht="14.15" customHeight="1" x14ac:dyDescent="0.35">
      <c r="AH223" s="113"/>
      <c r="AI223" s="114"/>
      <c r="AJ223" s="130"/>
      <c r="AK223" s="130"/>
      <c r="AL223" s="130"/>
      <c r="AM223" s="130"/>
      <c r="AN223" s="130"/>
      <c r="AO223" s="130"/>
      <c r="AP223" s="130"/>
      <c r="AQ223" s="130"/>
      <c r="AR223" s="130"/>
      <c r="AS223" s="130"/>
      <c r="BC223" s="250"/>
      <c r="BE223" s="118"/>
    </row>
    <row r="224" spans="34:57" ht="14.15" customHeight="1" x14ac:dyDescent="0.35">
      <c r="AH224" s="113"/>
      <c r="AI224" s="114"/>
      <c r="AJ224" s="130"/>
      <c r="AK224" s="130"/>
      <c r="AL224" s="130"/>
      <c r="AM224" s="130"/>
      <c r="AN224" s="130"/>
      <c r="AO224" s="130"/>
      <c r="AP224" s="130"/>
      <c r="AQ224" s="130"/>
      <c r="AR224" s="130"/>
      <c r="AS224" s="130"/>
      <c r="BC224" s="250"/>
      <c r="BE224" s="118"/>
    </row>
    <row r="225" spans="34:57" ht="14.15" customHeight="1" x14ac:dyDescent="0.35">
      <c r="AH225" s="113"/>
      <c r="AI225" s="114"/>
      <c r="AJ225" s="130"/>
      <c r="AK225" s="130"/>
      <c r="AL225" s="130"/>
      <c r="AM225" s="130"/>
      <c r="AN225" s="130"/>
      <c r="AO225" s="130"/>
      <c r="AP225" s="130"/>
      <c r="AQ225" s="130"/>
      <c r="AR225" s="130"/>
      <c r="AS225" s="130"/>
      <c r="BC225" s="250"/>
      <c r="BE225" s="118"/>
    </row>
    <row r="226" spans="34:57" ht="14.15" customHeight="1" x14ac:dyDescent="0.35">
      <c r="AH226" s="113"/>
      <c r="AI226" s="114"/>
      <c r="AJ226" s="130"/>
      <c r="AK226" s="130"/>
      <c r="AL226" s="130"/>
      <c r="AM226" s="130"/>
      <c r="AN226" s="130"/>
      <c r="AO226" s="130"/>
      <c r="AP226" s="130"/>
      <c r="AQ226" s="130"/>
      <c r="AR226" s="130"/>
      <c r="AS226" s="130"/>
      <c r="BC226" s="250"/>
      <c r="BE226" s="118"/>
    </row>
    <row r="227" spans="34:57" ht="14.15" customHeight="1" x14ac:dyDescent="0.35">
      <c r="AH227" s="113"/>
      <c r="AI227" s="114"/>
      <c r="AJ227" s="130"/>
      <c r="AK227" s="130"/>
      <c r="AL227" s="130"/>
      <c r="AM227" s="130"/>
      <c r="AN227" s="130"/>
      <c r="AO227" s="130"/>
      <c r="AP227" s="130"/>
      <c r="AQ227" s="130"/>
      <c r="AR227" s="130"/>
      <c r="AS227" s="130"/>
      <c r="BC227" s="250"/>
      <c r="BE227" s="118"/>
    </row>
    <row r="228" spans="34:57" ht="14.15" customHeight="1" x14ac:dyDescent="0.35">
      <c r="AH228" s="113"/>
      <c r="AI228" s="114"/>
      <c r="AJ228" s="130"/>
      <c r="AK228" s="130"/>
      <c r="AL228" s="130"/>
      <c r="AM228" s="130"/>
      <c r="AN228" s="130"/>
      <c r="AO228" s="130"/>
      <c r="AP228" s="130"/>
      <c r="AQ228" s="130"/>
      <c r="AR228" s="130"/>
      <c r="AS228" s="130"/>
      <c r="BC228" s="250"/>
      <c r="BE228" s="118"/>
    </row>
    <row r="229" spans="34:57" ht="14.15" customHeight="1" x14ac:dyDescent="0.35">
      <c r="AH229" s="113"/>
      <c r="AI229" s="114"/>
      <c r="AJ229" s="130"/>
      <c r="AK229" s="130"/>
      <c r="AL229" s="130"/>
      <c r="AM229" s="130"/>
      <c r="AN229" s="130"/>
      <c r="AO229" s="130"/>
      <c r="AP229" s="130"/>
      <c r="AQ229" s="130"/>
      <c r="AR229" s="130"/>
      <c r="AS229" s="130"/>
      <c r="BC229" s="250"/>
      <c r="BE229" s="118"/>
    </row>
    <row r="230" spans="34:57" ht="14.15" customHeight="1" x14ac:dyDescent="0.35">
      <c r="AH230" s="113"/>
      <c r="AI230" s="114"/>
      <c r="AJ230" s="130"/>
      <c r="AK230" s="130"/>
      <c r="AL230" s="130"/>
      <c r="AM230" s="130"/>
      <c r="AN230" s="130"/>
      <c r="AO230" s="130"/>
      <c r="AP230" s="130"/>
      <c r="AQ230" s="130"/>
      <c r="AR230" s="130"/>
      <c r="AS230" s="130"/>
      <c r="BC230" s="250"/>
      <c r="BE230" s="118"/>
    </row>
    <row r="231" spans="34:57" ht="14.15" customHeight="1" x14ac:dyDescent="0.35">
      <c r="AH231" s="113"/>
      <c r="AI231" s="114"/>
      <c r="AJ231" s="130"/>
      <c r="AK231" s="130"/>
      <c r="AL231" s="130"/>
      <c r="AM231" s="130"/>
      <c r="AN231" s="130"/>
      <c r="AO231" s="130"/>
      <c r="AP231" s="130"/>
      <c r="AQ231" s="130"/>
      <c r="AR231" s="130"/>
      <c r="AS231" s="130"/>
      <c r="BC231" s="250"/>
      <c r="BE231" s="118"/>
    </row>
    <row r="232" spans="34:57" ht="14.15" customHeight="1" x14ac:dyDescent="0.35">
      <c r="AH232" s="113"/>
      <c r="AI232" s="114"/>
      <c r="AJ232" s="130"/>
      <c r="AK232" s="130"/>
      <c r="AL232" s="130"/>
      <c r="AM232" s="130"/>
      <c r="AN232" s="130"/>
      <c r="AO232" s="130"/>
      <c r="AP232" s="130"/>
      <c r="AQ232" s="130"/>
      <c r="AR232" s="130"/>
      <c r="AS232" s="130"/>
      <c r="BC232" s="250"/>
      <c r="BE232" s="118"/>
    </row>
    <row r="233" spans="34:57" ht="14.15" customHeight="1" x14ac:dyDescent="0.35">
      <c r="AH233" s="113"/>
      <c r="AI233" s="114"/>
      <c r="AJ233" s="130"/>
      <c r="AK233" s="130"/>
      <c r="AL233" s="130"/>
      <c r="AM233" s="130"/>
      <c r="AN233" s="130"/>
      <c r="AO233" s="130"/>
      <c r="AP233" s="130"/>
      <c r="AQ233" s="130"/>
      <c r="AR233" s="130"/>
      <c r="AS233" s="130"/>
      <c r="BC233" s="250"/>
      <c r="BE233" s="118"/>
    </row>
    <row r="234" spans="34:57" ht="14.15" customHeight="1" x14ac:dyDescent="0.35">
      <c r="AH234" s="113"/>
      <c r="AI234" s="114"/>
      <c r="AJ234" s="130"/>
      <c r="AK234" s="130"/>
      <c r="AL234" s="130"/>
      <c r="AM234" s="130"/>
      <c r="AN234" s="130"/>
      <c r="AO234" s="130"/>
      <c r="AP234" s="130"/>
      <c r="AQ234" s="130"/>
      <c r="AR234" s="130"/>
      <c r="AS234" s="130"/>
      <c r="BC234" s="250"/>
      <c r="BE234" s="118"/>
    </row>
    <row r="235" spans="34:57" ht="14.15" customHeight="1" x14ac:dyDescent="0.35">
      <c r="AH235" s="113"/>
      <c r="AI235" s="114"/>
      <c r="AJ235" s="130"/>
      <c r="AK235" s="130"/>
      <c r="AL235" s="130"/>
      <c r="AM235" s="130"/>
      <c r="AN235" s="130"/>
      <c r="AO235" s="130"/>
      <c r="AP235" s="130"/>
      <c r="AQ235" s="130"/>
      <c r="AR235" s="130"/>
      <c r="AS235" s="130"/>
      <c r="BC235" s="250"/>
      <c r="BE235" s="118"/>
    </row>
    <row r="236" spans="34:57" ht="14.15" customHeight="1" x14ac:dyDescent="0.35">
      <c r="AH236" s="113"/>
      <c r="AI236" s="114"/>
      <c r="AJ236" s="130"/>
      <c r="AK236" s="130"/>
      <c r="AL236" s="130"/>
      <c r="AM236" s="130"/>
      <c r="AN236" s="130"/>
      <c r="AO236" s="130"/>
      <c r="AP236" s="130"/>
      <c r="AQ236" s="130"/>
      <c r="AR236" s="130"/>
      <c r="AS236" s="130"/>
      <c r="BC236" s="250"/>
      <c r="BE236" s="118"/>
    </row>
    <row r="237" spans="34:57" ht="14.15" customHeight="1" x14ac:dyDescent="0.35">
      <c r="AH237" s="113"/>
      <c r="AI237" s="114"/>
      <c r="AJ237" s="130"/>
      <c r="AK237" s="130"/>
      <c r="AL237" s="130"/>
      <c r="AM237" s="130"/>
      <c r="AN237" s="130"/>
      <c r="AO237" s="130"/>
      <c r="AP237" s="130"/>
      <c r="AQ237" s="130"/>
      <c r="AR237" s="130"/>
      <c r="AS237" s="130"/>
      <c r="BC237" s="250"/>
      <c r="BE237" s="118"/>
    </row>
    <row r="238" spans="34:57" ht="14.15" customHeight="1" x14ac:dyDescent="0.35">
      <c r="AH238" s="113"/>
      <c r="AI238" s="114"/>
      <c r="AJ238" s="130"/>
      <c r="AK238" s="130"/>
      <c r="AL238" s="130"/>
      <c r="AM238" s="130"/>
      <c r="AN238" s="130"/>
      <c r="AO238" s="130"/>
      <c r="AP238" s="130"/>
      <c r="AQ238" s="130"/>
      <c r="AR238" s="130"/>
      <c r="AS238" s="130"/>
      <c r="BC238" s="250"/>
      <c r="BE238" s="118"/>
    </row>
    <row r="239" spans="34:57" ht="14.15" customHeight="1" x14ac:dyDescent="0.35">
      <c r="AH239" s="113"/>
      <c r="AI239" s="114"/>
      <c r="AJ239" s="130"/>
      <c r="AK239" s="130"/>
      <c r="AL239" s="130"/>
      <c r="AM239" s="130"/>
      <c r="AN239" s="130"/>
      <c r="AO239" s="130"/>
      <c r="AP239" s="130"/>
      <c r="AQ239" s="130"/>
      <c r="AR239" s="130"/>
      <c r="AS239" s="130"/>
      <c r="BC239" s="250"/>
      <c r="BE239" s="118"/>
    </row>
    <row r="240" spans="34:57" ht="14.15" customHeight="1" x14ac:dyDescent="0.35">
      <c r="AH240" s="113"/>
      <c r="AI240" s="114"/>
      <c r="AJ240" s="130"/>
      <c r="AK240" s="130"/>
      <c r="AL240" s="130"/>
      <c r="AM240" s="130"/>
      <c r="AN240" s="130"/>
      <c r="AO240" s="130"/>
      <c r="AP240" s="130"/>
      <c r="AQ240" s="130"/>
      <c r="AR240" s="130"/>
      <c r="AS240" s="130"/>
      <c r="BC240" s="250"/>
      <c r="BE240" s="118"/>
    </row>
    <row r="241" spans="34:57" ht="14.15" customHeight="1" x14ac:dyDescent="0.35">
      <c r="AH241" s="113"/>
      <c r="AI241" s="114"/>
      <c r="AJ241" s="130"/>
      <c r="AK241" s="130"/>
      <c r="AL241" s="130"/>
      <c r="AM241" s="130"/>
      <c r="AN241" s="130"/>
      <c r="AO241" s="130"/>
      <c r="AP241" s="130"/>
      <c r="AQ241" s="130"/>
      <c r="AR241" s="130"/>
      <c r="AS241" s="130"/>
      <c r="BC241" s="250"/>
      <c r="BE241" s="118"/>
    </row>
    <row r="242" spans="34:57" ht="14.15" customHeight="1" x14ac:dyDescent="0.35">
      <c r="AH242" s="113"/>
      <c r="AI242" s="114"/>
      <c r="AJ242" s="130"/>
      <c r="AK242" s="130"/>
      <c r="AL242" s="130"/>
      <c r="AM242" s="130"/>
      <c r="AN242" s="130"/>
      <c r="AO242" s="130"/>
      <c r="AP242" s="130"/>
      <c r="AQ242" s="130"/>
      <c r="AR242" s="130"/>
      <c r="AS242" s="130"/>
      <c r="BC242" s="250"/>
      <c r="BE242" s="118"/>
    </row>
    <row r="243" spans="34:57" ht="14.15" customHeight="1" x14ac:dyDescent="0.35">
      <c r="AH243" s="113"/>
      <c r="AI243" s="114"/>
      <c r="AJ243" s="130"/>
      <c r="AK243" s="130"/>
      <c r="AL243" s="130"/>
      <c r="AM243" s="130"/>
      <c r="AN243" s="130"/>
      <c r="AO243" s="130"/>
      <c r="AP243" s="130"/>
      <c r="AQ243" s="130"/>
      <c r="AR243" s="130"/>
      <c r="AS243" s="130"/>
      <c r="BC243" s="250"/>
      <c r="BE243" s="118"/>
    </row>
    <row r="244" spans="34:57" ht="14.15" customHeight="1" x14ac:dyDescent="0.35">
      <c r="AH244" s="113"/>
      <c r="AI244" s="114"/>
      <c r="AJ244" s="130"/>
      <c r="AK244" s="130"/>
      <c r="AL244" s="130"/>
      <c r="AM244" s="130"/>
      <c r="AN244" s="130"/>
      <c r="AO244" s="130"/>
      <c r="AP244" s="130"/>
      <c r="AQ244" s="130"/>
      <c r="AR244" s="130"/>
      <c r="AS244" s="130"/>
      <c r="BC244" s="250"/>
      <c r="BE244" s="118"/>
    </row>
    <row r="245" spans="34:57" ht="14.15" customHeight="1" x14ac:dyDescent="0.35">
      <c r="AH245" s="113"/>
      <c r="AI245" s="114"/>
      <c r="AJ245" s="130"/>
      <c r="AK245" s="130"/>
      <c r="AL245" s="130"/>
      <c r="AM245" s="130"/>
      <c r="AN245" s="130"/>
      <c r="AO245" s="130"/>
      <c r="AP245" s="130"/>
      <c r="AQ245" s="130"/>
      <c r="AR245" s="130"/>
      <c r="AS245" s="130"/>
      <c r="BC245" s="250"/>
      <c r="BE245" s="118"/>
    </row>
    <row r="246" spans="34:57" ht="14.15" customHeight="1" x14ac:dyDescent="0.35">
      <c r="AH246" s="113"/>
      <c r="AI246" s="114"/>
      <c r="AJ246" s="130"/>
      <c r="AK246" s="130"/>
      <c r="AL246" s="130"/>
      <c r="AM246" s="130"/>
      <c r="AN246" s="130"/>
      <c r="AO246" s="130"/>
      <c r="AP246" s="130"/>
      <c r="AQ246" s="130"/>
      <c r="AR246" s="130"/>
      <c r="AS246" s="130"/>
      <c r="BC246" s="250"/>
      <c r="BE246" s="118"/>
    </row>
    <row r="247" spans="34:57" ht="14.15" customHeight="1" x14ac:dyDescent="0.35">
      <c r="AH247" s="113"/>
      <c r="AI247" s="114"/>
      <c r="AJ247" s="130"/>
      <c r="AK247" s="130"/>
      <c r="AL247" s="130"/>
      <c r="AM247" s="130"/>
      <c r="AN247" s="130"/>
      <c r="AO247" s="130"/>
      <c r="AP247" s="130"/>
      <c r="AQ247" s="130"/>
      <c r="AR247" s="130"/>
      <c r="AS247" s="130"/>
      <c r="BC247" s="250"/>
      <c r="BE247" s="118"/>
    </row>
    <row r="248" spans="34:57" ht="14.15" customHeight="1" x14ac:dyDescent="0.35">
      <c r="AH248" s="113"/>
      <c r="AI248" s="114"/>
      <c r="AJ248" s="130"/>
      <c r="AK248" s="130"/>
      <c r="AL248" s="130"/>
      <c r="AM248" s="130"/>
      <c r="AN248" s="130"/>
      <c r="AO248" s="130"/>
      <c r="AP248" s="130"/>
      <c r="AQ248" s="130"/>
      <c r="AR248" s="130"/>
      <c r="AS248" s="130"/>
      <c r="BC248" s="250"/>
      <c r="BE248" s="118"/>
    </row>
    <row r="249" spans="34:57" ht="14.15" customHeight="1" x14ac:dyDescent="0.35">
      <c r="AH249" s="113"/>
      <c r="AI249" s="114"/>
      <c r="AJ249" s="130"/>
      <c r="AK249" s="130"/>
      <c r="AL249" s="130"/>
      <c r="AM249" s="130"/>
      <c r="AN249" s="130"/>
      <c r="AO249" s="130"/>
      <c r="AP249" s="130"/>
      <c r="AQ249" s="130"/>
      <c r="AR249" s="130"/>
      <c r="AS249" s="130"/>
      <c r="BC249" s="250"/>
      <c r="BE249" s="118"/>
    </row>
    <row r="250" spans="34:57" ht="14.15" customHeight="1" x14ac:dyDescent="0.35">
      <c r="AH250" s="113"/>
      <c r="AI250" s="114"/>
      <c r="AJ250" s="130"/>
      <c r="AK250" s="130"/>
      <c r="AL250" s="130"/>
      <c r="AM250" s="130"/>
      <c r="AN250" s="130"/>
      <c r="AO250" s="130"/>
      <c r="AP250" s="130"/>
      <c r="AQ250" s="130"/>
      <c r="AR250" s="130"/>
      <c r="AS250" s="130"/>
      <c r="BC250" s="250"/>
      <c r="BE250" s="118"/>
    </row>
    <row r="251" spans="34:57" ht="14.15" customHeight="1" x14ac:dyDescent="0.35">
      <c r="AH251" s="113"/>
      <c r="AI251" s="114"/>
      <c r="AJ251" s="130"/>
      <c r="AK251" s="130"/>
      <c r="AL251" s="130"/>
      <c r="AM251" s="130"/>
      <c r="AN251" s="130"/>
      <c r="AO251" s="130"/>
      <c r="AP251" s="130"/>
      <c r="AQ251" s="130"/>
      <c r="AR251" s="130"/>
      <c r="AS251" s="130"/>
      <c r="BC251" s="250"/>
      <c r="BE251" s="118"/>
    </row>
    <row r="252" spans="34:57" ht="14.15" customHeight="1" x14ac:dyDescent="0.35">
      <c r="AH252" s="113"/>
      <c r="AI252" s="114"/>
      <c r="AJ252" s="130"/>
      <c r="AK252" s="130"/>
      <c r="AL252" s="130"/>
      <c r="AM252" s="130"/>
      <c r="AN252" s="130"/>
      <c r="AO252" s="130"/>
      <c r="AP252" s="130"/>
      <c r="AQ252" s="130"/>
      <c r="AR252" s="130"/>
      <c r="AS252" s="130"/>
      <c r="BC252" s="250"/>
      <c r="BE252" s="118"/>
    </row>
    <row r="253" spans="34:57" ht="14.15" customHeight="1" x14ac:dyDescent="0.35">
      <c r="AH253" s="113"/>
      <c r="AI253" s="114"/>
      <c r="AJ253" s="130"/>
      <c r="AK253" s="130"/>
      <c r="AL253" s="130"/>
      <c r="AM253" s="130"/>
      <c r="AN253" s="130"/>
      <c r="AO253" s="130"/>
      <c r="AP253" s="130"/>
      <c r="AQ253" s="130"/>
      <c r="AR253" s="130"/>
      <c r="AS253" s="130"/>
      <c r="BC253" s="250"/>
      <c r="BE253" s="118"/>
    </row>
    <row r="254" spans="34:57" ht="14.15" customHeight="1" x14ac:dyDescent="0.35">
      <c r="AH254" s="113"/>
      <c r="AI254" s="114"/>
      <c r="AJ254" s="130"/>
      <c r="AK254" s="130"/>
      <c r="AL254" s="130"/>
      <c r="AM254" s="130"/>
      <c r="AN254" s="130"/>
      <c r="AO254" s="130"/>
      <c r="AP254" s="130"/>
      <c r="AQ254" s="130"/>
      <c r="AR254" s="130"/>
      <c r="AS254" s="130"/>
      <c r="BC254" s="250"/>
      <c r="BE254" s="118"/>
    </row>
    <row r="255" spans="34:57" ht="14.15" customHeight="1" x14ac:dyDescent="0.35">
      <c r="AH255" s="113"/>
      <c r="AI255" s="114"/>
      <c r="AJ255" s="130"/>
      <c r="AK255" s="130"/>
      <c r="AL255" s="130"/>
      <c r="AM255" s="130"/>
      <c r="AN255" s="130"/>
      <c r="AO255" s="130"/>
      <c r="AP255" s="130"/>
      <c r="AQ255" s="130"/>
      <c r="AR255" s="130"/>
      <c r="AS255" s="130"/>
      <c r="BC255" s="250"/>
      <c r="BE255" s="118"/>
    </row>
    <row r="256" spans="34:57" ht="14.15" customHeight="1" x14ac:dyDescent="0.35">
      <c r="AH256" s="113"/>
      <c r="AI256" s="114"/>
      <c r="AJ256" s="130"/>
      <c r="AK256" s="130"/>
      <c r="AL256" s="130"/>
      <c r="AM256" s="130"/>
      <c r="AN256" s="130"/>
      <c r="AO256" s="130"/>
      <c r="AP256" s="130"/>
      <c r="AQ256" s="130"/>
      <c r="AR256" s="130"/>
      <c r="AS256" s="130"/>
      <c r="BC256" s="250"/>
      <c r="BE256" s="118"/>
    </row>
    <row r="257" spans="34:57" ht="14.15" customHeight="1" x14ac:dyDescent="0.35">
      <c r="AH257" s="113"/>
      <c r="AI257" s="114"/>
      <c r="AJ257" s="130"/>
      <c r="AK257" s="130"/>
      <c r="AL257" s="130"/>
      <c r="AM257" s="130"/>
      <c r="AN257" s="130"/>
      <c r="AO257" s="130"/>
      <c r="AP257" s="130"/>
      <c r="AQ257" s="130"/>
      <c r="AR257" s="130"/>
      <c r="AS257" s="130"/>
      <c r="BC257" s="250"/>
      <c r="BE257" s="118"/>
    </row>
    <row r="258" spans="34:57" ht="14.15" customHeight="1" x14ac:dyDescent="0.35">
      <c r="AH258" s="113"/>
      <c r="AI258" s="114"/>
      <c r="AJ258" s="130"/>
      <c r="AK258" s="130"/>
      <c r="AL258" s="130"/>
      <c r="AM258" s="130"/>
      <c r="AN258" s="130"/>
      <c r="AO258" s="130"/>
      <c r="AP258" s="130"/>
      <c r="AQ258" s="130"/>
      <c r="AR258" s="130"/>
      <c r="AS258" s="130"/>
      <c r="BC258" s="250"/>
      <c r="BE258" s="118"/>
    </row>
    <row r="259" spans="34:57" ht="14.15" customHeight="1" x14ac:dyDescent="0.35">
      <c r="AH259" s="113"/>
      <c r="AI259" s="114"/>
      <c r="AJ259" s="130"/>
      <c r="AK259" s="130"/>
      <c r="AL259" s="130"/>
      <c r="AM259" s="130"/>
      <c r="AN259" s="130"/>
      <c r="AO259" s="130"/>
      <c r="AP259" s="130"/>
      <c r="AQ259" s="130"/>
      <c r="AR259" s="130"/>
      <c r="AS259" s="130"/>
      <c r="BC259" s="250"/>
      <c r="BE259" s="118"/>
    </row>
    <row r="260" spans="34:57" ht="14.15" customHeight="1" x14ac:dyDescent="0.35">
      <c r="AH260" s="113"/>
      <c r="AI260" s="114"/>
      <c r="AJ260" s="130"/>
      <c r="AK260" s="130"/>
      <c r="AL260" s="130"/>
      <c r="AM260" s="130"/>
      <c r="AN260" s="130"/>
      <c r="AO260" s="130"/>
      <c r="AP260" s="130"/>
      <c r="AQ260" s="130"/>
      <c r="AR260" s="130"/>
      <c r="AS260" s="130"/>
      <c r="BC260" s="250"/>
      <c r="BE260" s="118"/>
    </row>
    <row r="261" spans="34:57" ht="14.15" customHeight="1" x14ac:dyDescent="0.35">
      <c r="AH261" s="113"/>
      <c r="AI261" s="114"/>
      <c r="AJ261" s="130"/>
      <c r="AK261" s="130"/>
      <c r="AL261" s="130"/>
      <c r="AM261" s="130"/>
      <c r="AN261" s="130"/>
      <c r="AO261" s="130"/>
      <c r="AP261" s="130"/>
      <c r="AQ261" s="130"/>
      <c r="AR261" s="130"/>
      <c r="AS261" s="130"/>
      <c r="BC261" s="250"/>
      <c r="BE261" s="118"/>
    </row>
    <row r="262" spans="34:57" ht="14.15" customHeight="1" x14ac:dyDescent="0.35">
      <c r="AH262" s="113"/>
      <c r="AI262" s="114"/>
      <c r="AJ262" s="130"/>
      <c r="AK262" s="130"/>
      <c r="AL262" s="130"/>
      <c r="AM262" s="130"/>
      <c r="AN262" s="130"/>
      <c r="AO262" s="130"/>
      <c r="AP262" s="130"/>
      <c r="AQ262" s="130"/>
      <c r="AR262" s="130"/>
      <c r="AS262" s="130"/>
      <c r="BC262" s="250"/>
      <c r="BE262" s="118"/>
    </row>
    <row r="263" spans="34:57" ht="14.15" customHeight="1" x14ac:dyDescent="0.35">
      <c r="AH263" s="113"/>
      <c r="AI263" s="114"/>
      <c r="AJ263" s="130"/>
      <c r="AK263" s="130"/>
      <c r="AL263" s="130"/>
      <c r="AM263" s="130"/>
      <c r="AN263" s="130"/>
      <c r="AO263" s="130"/>
      <c r="AP263" s="130"/>
      <c r="AQ263" s="130"/>
      <c r="AR263" s="130"/>
      <c r="AS263" s="130"/>
      <c r="BC263" s="250"/>
      <c r="BE263" s="118"/>
    </row>
    <row r="264" spans="34:57" ht="14.15" customHeight="1" x14ac:dyDescent="0.35">
      <c r="AH264" s="113"/>
      <c r="AI264" s="114"/>
      <c r="AJ264" s="130"/>
      <c r="AK264" s="130"/>
      <c r="AL264" s="130"/>
      <c r="AM264" s="130"/>
      <c r="AN264" s="130"/>
      <c r="AO264" s="130"/>
      <c r="AP264" s="130"/>
      <c r="AQ264" s="130"/>
      <c r="AR264" s="130"/>
      <c r="AS264" s="130"/>
      <c r="BC264" s="250"/>
      <c r="BE264" s="118"/>
    </row>
    <row r="265" spans="34:57" ht="14.15" customHeight="1" x14ac:dyDescent="0.35">
      <c r="AH265" s="113"/>
      <c r="AI265" s="114"/>
      <c r="AJ265" s="130"/>
      <c r="AK265" s="130"/>
      <c r="AL265" s="130"/>
      <c r="AM265" s="130"/>
      <c r="AN265" s="130"/>
      <c r="AO265" s="130"/>
      <c r="AP265" s="130"/>
      <c r="AQ265" s="130"/>
      <c r="AR265" s="130"/>
      <c r="AS265" s="130"/>
      <c r="BC265" s="250"/>
      <c r="BE265" s="118"/>
    </row>
    <row r="266" spans="34:57" ht="14.15" customHeight="1" x14ac:dyDescent="0.35">
      <c r="AH266" s="113"/>
      <c r="AI266" s="114"/>
      <c r="AJ266" s="130"/>
      <c r="AK266" s="130"/>
      <c r="AL266" s="130"/>
      <c r="AM266" s="130"/>
      <c r="AN266" s="130"/>
      <c r="AO266" s="130"/>
      <c r="AP266" s="130"/>
      <c r="AQ266" s="130"/>
      <c r="AR266" s="130"/>
      <c r="AS266" s="130"/>
      <c r="BC266" s="250"/>
      <c r="BE266" s="118"/>
    </row>
    <row r="267" spans="34:57" ht="14.15" customHeight="1" x14ac:dyDescent="0.35">
      <c r="AH267" s="113"/>
      <c r="AI267" s="114"/>
      <c r="AJ267" s="130"/>
      <c r="AK267" s="130"/>
      <c r="AL267" s="130"/>
      <c r="AM267" s="130"/>
      <c r="AN267" s="130"/>
      <c r="AO267" s="130"/>
      <c r="AP267" s="130"/>
      <c r="AQ267" s="130"/>
      <c r="AR267" s="130"/>
      <c r="AS267" s="130"/>
      <c r="BC267" s="250"/>
      <c r="BE267" s="118"/>
    </row>
    <row r="268" spans="34:57" ht="14.15" customHeight="1" x14ac:dyDescent="0.35">
      <c r="AH268" s="113"/>
      <c r="AI268" s="114"/>
      <c r="AJ268" s="130"/>
      <c r="AK268" s="130"/>
      <c r="AL268" s="130"/>
      <c r="AM268" s="130"/>
      <c r="AN268" s="130"/>
      <c r="AO268" s="130"/>
      <c r="AP268" s="130"/>
      <c r="AQ268" s="130"/>
      <c r="AR268" s="130"/>
      <c r="AS268" s="130"/>
      <c r="BC268" s="250"/>
      <c r="BE268" s="118"/>
    </row>
    <row r="269" spans="34:57" ht="14.15" customHeight="1" x14ac:dyDescent="0.35">
      <c r="AH269" s="113"/>
      <c r="AI269" s="114"/>
      <c r="AJ269" s="130"/>
      <c r="AK269" s="130"/>
      <c r="AL269" s="130"/>
      <c r="AM269" s="130"/>
      <c r="AN269" s="130"/>
      <c r="AO269" s="130"/>
      <c r="AP269" s="130"/>
      <c r="AQ269" s="130"/>
      <c r="AR269" s="130"/>
      <c r="AS269" s="130"/>
      <c r="BC269" s="250"/>
      <c r="BE269" s="118"/>
    </row>
    <row r="270" spans="34:57" ht="14.15" customHeight="1" x14ac:dyDescent="0.35">
      <c r="AH270" s="113"/>
      <c r="AI270" s="114"/>
      <c r="AJ270" s="130"/>
      <c r="AK270" s="130"/>
      <c r="AL270" s="130"/>
      <c r="AM270" s="130"/>
      <c r="AN270" s="130"/>
      <c r="AO270" s="130"/>
      <c r="AP270" s="130"/>
      <c r="AQ270" s="130"/>
      <c r="AR270" s="130"/>
      <c r="AS270" s="130"/>
      <c r="BC270" s="250"/>
      <c r="BE270" s="118"/>
    </row>
    <row r="271" spans="34:57" ht="14.15" customHeight="1" x14ac:dyDescent="0.35">
      <c r="AH271" s="114"/>
      <c r="AI271" s="114"/>
      <c r="AJ271" s="130"/>
      <c r="AK271" s="130"/>
      <c r="AL271" s="130"/>
      <c r="AM271" s="130"/>
      <c r="AN271" s="130"/>
      <c r="AO271" s="130"/>
      <c r="AP271" s="130"/>
      <c r="AQ271" s="130"/>
      <c r="AR271" s="130"/>
      <c r="AS271" s="130"/>
      <c r="BC271" s="250"/>
      <c r="BE271" s="119"/>
    </row>
    <row r="272" spans="34:57" ht="14.15" customHeight="1" x14ac:dyDescent="0.35">
      <c r="AH272" s="114"/>
      <c r="AI272" s="114"/>
      <c r="AJ272" s="130"/>
      <c r="AK272" s="130"/>
      <c r="AL272" s="130"/>
      <c r="AM272" s="130"/>
      <c r="AN272" s="130"/>
      <c r="AO272" s="130"/>
      <c r="AP272" s="130"/>
      <c r="AQ272" s="130"/>
      <c r="AR272" s="130"/>
      <c r="AS272" s="130"/>
      <c r="BC272" s="250"/>
      <c r="BE272" s="119"/>
    </row>
    <row r="273" spans="34:57" ht="14.15" customHeight="1" x14ac:dyDescent="0.35">
      <c r="AH273" s="114"/>
      <c r="AI273" s="114"/>
      <c r="AJ273" s="130"/>
      <c r="AK273" s="130"/>
      <c r="AL273" s="130"/>
      <c r="AM273" s="130"/>
      <c r="AN273" s="130"/>
      <c r="AO273" s="130"/>
      <c r="AP273" s="130"/>
      <c r="AQ273" s="130"/>
      <c r="AR273" s="130"/>
      <c r="AS273" s="130"/>
      <c r="BC273" s="250"/>
      <c r="BE273" s="119"/>
    </row>
    <row r="274" spans="34:57" ht="14.15" customHeight="1" x14ac:dyDescent="0.35">
      <c r="AH274" s="114"/>
      <c r="AI274" s="114"/>
      <c r="AJ274" s="130"/>
      <c r="AK274" s="130"/>
      <c r="AL274" s="130"/>
      <c r="AM274" s="130"/>
      <c r="AN274" s="130"/>
      <c r="AO274" s="130"/>
      <c r="AP274" s="130"/>
      <c r="AQ274" s="130"/>
      <c r="AR274" s="130"/>
      <c r="AS274" s="130"/>
      <c r="BC274" s="250"/>
      <c r="BE274" s="119"/>
    </row>
    <row r="275" spans="34:57" ht="14.15" customHeight="1" x14ac:dyDescent="0.35">
      <c r="AH275" s="114"/>
      <c r="AI275" s="114"/>
      <c r="AJ275" s="130"/>
      <c r="AK275" s="130"/>
      <c r="AL275" s="130"/>
      <c r="AM275" s="130"/>
      <c r="AN275" s="130"/>
      <c r="AO275" s="130"/>
      <c r="AP275" s="130"/>
      <c r="AQ275" s="130"/>
      <c r="AR275" s="130"/>
      <c r="AS275" s="130"/>
      <c r="BC275" s="250"/>
      <c r="BE275" s="119"/>
    </row>
    <row r="276" spans="34:57" ht="14.15" customHeight="1" x14ac:dyDescent="0.35">
      <c r="AH276" s="114"/>
      <c r="AI276" s="114"/>
      <c r="AJ276" s="130"/>
      <c r="AK276" s="130"/>
      <c r="AL276" s="130"/>
      <c r="AM276" s="130"/>
      <c r="AN276" s="130"/>
      <c r="AO276" s="130"/>
      <c r="AP276" s="130"/>
      <c r="AQ276" s="130"/>
      <c r="AR276" s="130"/>
      <c r="AS276" s="130"/>
      <c r="BC276" s="250"/>
      <c r="BE276" s="119"/>
    </row>
    <row r="277" spans="34:57" ht="14.15" customHeight="1" x14ac:dyDescent="0.35">
      <c r="AH277" s="114"/>
      <c r="AI277" s="114"/>
      <c r="AJ277" s="130"/>
      <c r="AK277" s="130"/>
      <c r="AL277" s="130"/>
      <c r="AM277" s="130"/>
      <c r="AN277" s="130"/>
      <c r="AO277" s="130"/>
      <c r="AP277" s="130"/>
      <c r="AQ277" s="130"/>
      <c r="AR277" s="130"/>
      <c r="AS277" s="130"/>
      <c r="BC277" s="250"/>
      <c r="BE277" s="119"/>
    </row>
    <row r="278" spans="34:57" ht="14.15" customHeight="1" x14ac:dyDescent="0.35">
      <c r="AH278" s="114"/>
      <c r="AI278" s="114"/>
      <c r="AJ278" s="130"/>
      <c r="AK278" s="130"/>
      <c r="AL278" s="130"/>
      <c r="AM278" s="130"/>
      <c r="AN278" s="130"/>
      <c r="AO278" s="130"/>
      <c r="AP278" s="130"/>
      <c r="AQ278" s="130"/>
      <c r="AR278" s="130"/>
      <c r="AS278" s="130"/>
      <c r="BC278" s="250"/>
      <c r="BE278" s="119"/>
    </row>
    <row r="279" spans="34:57" ht="14.15" customHeight="1" x14ac:dyDescent="0.35">
      <c r="AH279" s="114"/>
      <c r="AI279" s="114"/>
      <c r="AJ279" s="130"/>
      <c r="AK279" s="130"/>
      <c r="AL279" s="130"/>
      <c r="AM279" s="130"/>
      <c r="AN279" s="130"/>
      <c r="AO279" s="130"/>
      <c r="AP279" s="130"/>
      <c r="AQ279" s="130"/>
      <c r="AR279" s="130"/>
      <c r="AS279" s="130"/>
      <c r="BC279" s="250"/>
      <c r="BE279" s="119"/>
    </row>
    <row r="280" spans="34:57" ht="14.15" customHeight="1" x14ac:dyDescent="0.35">
      <c r="AH280" s="114"/>
      <c r="AI280" s="114"/>
      <c r="AJ280" s="130"/>
      <c r="AK280" s="130"/>
      <c r="AL280" s="130"/>
      <c r="AM280" s="130"/>
      <c r="AN280" s="130"/>
      <c r="AO280" s="130"/>
      <c r="AP280" s="130"/>
      <c r="AQ280" s="130"/>
      <c r="AR280" s="130"/>
      <c r="AS280" s="130"/>
      <c r="BC280" s="250"/>
      <c r="BE280" s="119"/>
    </row>
    <row r="281" spans="34:57" ht="14.15" customHeight="1" x14ac:dyDescent="0.35">
      <c r="AH281" s="114"/>
      <c r="AI281" s="114"/>
      <c r="AJ281" s="130"/>
      <c r="AK281" s="130"/>
      <c r="AL281" s="130"/>
      <c r="AM281" s="130"/>
      <c r="AN281" s="130"/>
      <c r="AO281" s="130"/>
      <c r="AP281" s="130"/>
      <c r="AQ281" s="130"/>
      <c r="AR281" s="130"/>
      <c r="AS281" s="130"/>
      <c r="BC281" s="250"/>
      <c r="BE281" s="119"/>
    </row>
    <row r="282" spans="34:57" ht="14.15" customHeight="1" x14ac:dyDescent="0.35">
      <c r="AH282" s="114"/>
      <c r="AI282" s="114"/>
      <c r="AJ282" s="130"/>
      <c r="AK282" s="130"/>
      <c r="AL282" s="130"/>
      <c r="AM282" s="130"/>
      <c r="AN282" s="130"/>
      <c r="AO282" s="130"/>
      <c r="AP282" s="130"/>
      <c r="AQ282" s="130"/>
      <c r="AR282" s="130"/>
      <c r="AS282" s="130"/>
      <c r="BC282" s="250"/>
      <c r="BE282" s="119"/>
    </row>
    <row r="283" spans="34:57" ht="14.15" customHeight="1" x14ac:dyDescent="0.35">
      <c r="AH283" s="114"/>
      <c r="AI283" s="114"/>
      <c r="AJ283" s="130"/>
      <c r="AK283" s="130"/>
      <c r="AL283" s="130"/>
      <c r="AM283" s="130"/>
      <c r="AN283" s="130"/>
      <c r="AO283" s="130"/>
      <c r="AP283" s="130"/>
      <c r="AQ283" s="130"/>
      <c r="AR283" s="130"/>
      <c r="AS283" s="130"/>
      <c r="BC283" s="250"/>
      <c r="BE283" s="119"/>
    </row>
    <row r="284" spans="34:57" ht="14.15" customHeight="1" x14ac:dyDescent="0.35">
      <c r="AH284" s="114"/>
      <c r="AI284" s="114"/>
      <c r="AJ284" s="130"/>
      <c r="AK284" s="130"/>
      <c r="AL284" s="130"/>
      <c r="AM284" s="130"/>
      <c r="AN284" s="130"/>
      <c r="AO284" s="130"/>
      <c r="AP284" s="130"/>
      <c r="AQ284" s="130"/>
      <c r="AR284" s="130"/>
      <c r="AS284" s="130"/>
      <c r="BC284" s="250"/>
      <c r="BE284" s="119"/>
    </row>
    <row r="285" spans="34:57" ht="14.15" customHeight="1" x14ac:dyDescent="0.35">
      <c r="AH285" s="114"/>
      <c r="AI285" s="114"/>
      <c r="AJ285" s="130"/>
      <c r="AK285" s="130"/>
      <c r="AL285" s="130"/>
      <c r="AM285" s="130"/>
      <c r="AN285" s="130"/>
      <c r="AO285" s="130"/>
      <c r="AP285" s="130"/>
      <c r="AQ285" s="130"/>
      <c r="AR285" s="130"/>
      <c r="AS285" s="130"/>
      <c r="BC285" s="250"/>
      <c r="BE285" s="119"/>
    </row>
    <row r="286" spans="34:57" ht="14.15" customHeight="1" x14ac:dyDescent="0.35">
      <c r="AH286" s="114"/>
      <c r="AI286" s="114"/>
      <c r="AJ286" s="130"/>
      <c r="AK286" s="130"/>
      <c r="AL286" s="130"/>
      <c r="AM286" s="130"/>
      <c r="AN286" s="130"/>
      <c r="AO286" s="130"/>
      <c r="AP286" s="130"/>
      <c r="AQ286" s="130"/>
      <c r="AR286" s="130"/>
      <c r="AS286" s="130"/>
      <c r="BC286" s="250"/>
      <c r="BE286" s="119"/>
    </row>
    <row r="287" spans="34:57" ht="14.15" customHeight="1" x14ac:dyDescent="0.35">
      <c r="AH287" s="114"/>
      <c r="AI287" s="114"/>
      <c r="AJ287" s="130"/>
      <c r="AK287" s="130"/>
      <c r="AL287" s="130"/>
      <c r="AM287" s="130"/>
      <c r="AN287" s="130"/>
      <c r="AO287" s="130"/>
      <c r="AP287" s="130"/>
      <c r="AQ287" s="130"/>
      <c r="AR287" s="130"/>
      <c r="AS287" s="130"/>
      <c r="BC287" s="250"/>
      <c r="BE287" s="119"/>
    </row>
    <row r="288" spans="34:57" ht="14.15" customHeight="1" x14ac:dyDescent="0.35">
      <c r="AH288" s="114"/>
      <c r="AI288" s="114"/>
      <c r="AJ288" s="130"/>
      <c r="AK288" s="130"/>
      <c r="AL288" s="130"/>
      <c r="AM288" s="130"/>
      <c r="AN288" s="130"/>
      <c r="AO288" s="130"/>
      <c r="AP288" s="130"/>
      <c r="AQ288" s="130"/>
      <c r="AR288" s="130"/>
      <c r="AS288" s="130"/>
      <c r="BC288" s="250"/>
      <c r="BE288" s="119"/>
    </row>
    <row r="289" spans="34:57" ht="14.15" customHeight="1" x14ac:dyDescent="0.35">
      <c r="AH289" s="114"/>
      <c r="AI289" s="114"/>
      <c r="AJ289" s="130"/>
      <c r="AK289" s="130"/>
      <c r="AL289" s="130"/>
      <c r="AM289" s="130"/>
      <c r="AN289" s="130"/>
      <c r="AO289" s="130"/>
      <c r="AP289" s="130"/>
      <c r="AQ289" s="130"/>
      <c r="AR289" s="130"/>
      <c r="AS289" s="130"/>
      <c r="BC289" s="250"/>
      <c r="BE289" s="119"/>
    </row>
    <row r="290" spans="34:57" ht="14.15" customHeight="1" x14ac:dyDescent="0.35">
      <c r="AH290" s="114"/>
      <c r="AI290" s="114"/>
      <c r="AJ290" s="130"/>
      <c r="AK290" s="130"/>
      <c r="AL290" s="130"/>
      <c r="AM290" s="130"/>
      <c r="AN290" s="130"/>
      <c r="AO290" s="130"/>
      <c r="AP290" s="130"/>
      <c r="AQ290" s="130"/>
      <c r="AR290" s="130"/>
      <c r="AS290" s="130"/>
      <c r="BC290" s="250"/>
      <c r="BE290" s="119"/>
    </row>
    <row r="291" spans="34:57" ht="14.15" customHeight="1" x14ac:dyDescent="0.35">
      <c r="AH291" s="114"/>
      <c r="AI291" s="114"/>
      <c r="AJ291" s="130"/>
      <c r="AK291" s="130"/>
      <c r="AL291" s="130"/>
      <c r="AM291" s="130"/>
      <c r="AN291" s="130"/>
      <c r="AO291" s="130"/>
      <c r="AP291" s="130"/>
      <c r="AQ291" s="130"/>
      <c r="AR291" s="130"/>
      <c r="AS291" s="130"/>
      <c r="BC291" s="250"/>
      <c r="BE291" s="119"/>
    </row>
    <row r="292" spans="34:57" ht="14.15" customHeight="1" x14ac:dyDescent="0.35">
      <c r="AH292" s="114"/>
      <c r="AI292" s="114"/>
      <c r="AJ292" s="130"/>
      <c r="AK292" s="130"/>
      <c r="AL292" s="130"/>
      <c r="AM292" s="130"/>
      <c r="AN292" s="130"/>
      <c r="AO292" s="130"/>
      <c r="AP292" s="130"/>
      <c r="AQ292" s="130"/>
      <c r="AR292" s="130"/>
      <c r="AS292" s="130"/>
      <c r="BC292" s="250"/>
      <c r="BE292" s="119"/>
    </row>
    <row r="293" spans="34:57" ht="14.15" customHeight="1" x14ac:dyDescent="0.35">
      <c r="AH293" s="114"/>
      <c r="AI293" s="114"/>
      <c r="AJ293" s="130"/>
      <c r="AK293" s="130"/>
      <c r="AL293" s="130"/>
      <c r="AM293" s="130"/>
      <c r="AN293" s="130"/>
      <c r="AO293" s="130"/>
      <c r="AP293" s="130"/>
      <c r="AQ293" s="130"/>
      <c r="AR293" s="130"/>
      <c r="AS293" s="130"/>
      <c r="BC293" s="250"/>
      <c r="BE293" s="119"/>
    </row>
    <row r="294" spans="34:57" ht="14.15" customHeight="1" x14ac:dyDescent="0.35">
      <c r="AH294" s="114"/>
      <c r="AI294" s="114"/>
      <c r="AJ294" s="130"/>
      <c r="AK294" s="130"/>
      <c r="AL294" s="130"/>
      <c r="AM294" s="130"/>
      <c r="AN294" s="130"/>
      <c r="AO294" s="130"/>
      <c r="AP294" s="130"/>
      <c r="AQ294" s="130"/>
      <c r="AR294" s="130"/>
      <c r="AS294" s="130"/>
      <c r="BC294" s="250"/>
      <c r="BE294" s="119"/>
    </row>
    <row r="295" spans="34:57" ht="14.15" customHeight="1" x14ac:dyDescent="0.35">
      <c r="AH295" s="114"/>
      <c r="AI295" s="114"/>
      <c r="AJ295" s="130"/>
      <c r="AK295" s="130"/>
      <c r="AL295" s="130"/>
      <c r="AM295" s="130"/>
      <c r="AN295" s="130"/>
      <c r="AO295" s="130"/>
      <c r="AP295" s="130"/>
      <c r="AQ295" s="130"/>
      <c r="AR295" s="130"/>
      <c r="AS295" s="130"/>
      <c r="BC295" s="250"/>
      <c r="BE295" s="119"/>
    </row>
    <row r="296" spans="34:57" ht="14.15" customHeight="1" x14ac:dyDescent="0.35">
      <c r="AH296" s="114"/>
      <c r="AI296" s="114"/>
      <c r="AJ296" s="130"/>
      <c r="AK296" s="130"/>
      <c r="AL296" s="130"/>
      <c r="AM296" s="130"/>
      <c r="AN296" s="130"/>
      <c r="AO296" s="130"/>
      <c r="AP296" s="130"/>
      <c r="AQ296" s="130"/>
      <c r="AR296" s="130"/>
      <c r="AS296" s="130"/>
      <c r="BC296" s="250"/>
      <c r="BE296" s="119"/>
    </row>
    <row r="297" spans="34:57" ht="14.15" customHeight="1" x14ac:dyDescent="0.35">
      <c r="AH297" s="114"/>
      <c r="AI297" s="114"/>
      <c r="AJ297" s="130"/>
      <c r="AK297" s="130"/>
      <c r="AL297" s="130"/>
      <c r="AM297" s="130"/>
      <c r="AN297" s="130"/>
      <c r="AO297" s="130"/>
      <c r="AP297" s="130"/>
      <c r="AQ297" s="130"/>
      <c r="AR297" s="130"/>
      <c r="AS297" s="130"/>
      <c r="BC297" s="250"/>
      <c r="BE297" s="119"/>
    </row>
    <row r="298" spans="34:57" ht="14.15" customHeight="1" x14ac:dyDescent="0.35">
      <c r="AH298" s="114"/>
      <c r="AI298" s="114"/>
      <c r="AJ298" s="130"/>
      <c r="AK298" s="130"/>
      <c r="AL298" s="130"/>
      <c r="AM298" s="130"/>
      <c r="AN298" s="130"/>
      <c r="AO298" s="130"/>
      <c r="AP298" s="130"/>
      <c r="AQ298" s="130"/>
      <c r="AR298" s="130"/>
      <c r="AS298" s="130"/>
      <c r="BC298" s="250"/>
      <c r="BE298" s="119"/>
    </row>
    <row r="299" spans="34:57" ht="14.15" customHeight="1" x14ac:dyDescent="0.35">
      <c r="AH299" s="114"/>
      <c r="AI299" s="114"/>
      <c r="AJ299" s="130"/>
      <c r="AK299" s="130"/>
      <c r="AL299" s="130"/>
      <c r="AM299" s="130"/>
      <c r="AN299" s="130"/>
      <c r="AO299" s="130"/>
      <c r="AP299" s="130"/>
      <c r="AQ299" s="130"/>
      <c r="AR299" s="130"/>
      <c r="AS299" s="130"/>
      <c r="BC299" s="250"/>
      <c r="BE299" s="119"/>
    </row>
    <row r="300" spans="34:57" ht="14.15" customHeight="1" x14ac:dyDescent="0.35">
      <c r="AH300" s="114"/>
      <c r="AI300" s="114"/>
      <c r="AJ300" s="130"/>
      <c r="AK300" s="130"/>
      <c r="AL300" s="130"/>
      <c r="AM300" s="130"/>
      <c r="AN300" s="130"/>
      <c r="AO300" s="130"/>
      <c r="AP300" s="130"/>
      <c r="AQ300" s="130"/>
      <c r="AR300" s="130"/>
      <c r="AS300" s="130"/>
      <c r="BC300" s="250"/>
      <c r="BE300" s="119"/>
    </row>
    <row r="301" spans="34:57" ht="14.15" customHeight="1" x14ac:dyDescent="0.35">
      <c r="AH301" s="114"/>
      <c r="AI301" s="114"/>
      <c r="AJ301" s="130"/>
      <c r="AK301" s="130"/>
      <c r="AL301" s="130"/>
      <c r="AM301" s="130"/>
      <c r="AN301" s="130"/>
      <c r="AO301" s="130"/>
      <c r="AP301" s="130"/>
      <c r="AQ301" s="130"/>
      <c r="AR301" s="130"/>
      <c r="AS301" s="130"/>
      <c r="BC301" s="250"/>
      <c r="BE301" s="119"/>
    </row>
    <row r="302" spans="34:57" ht="14.15" customHeight="1" x14ac:dyDescent="0.35">
      <c r="AH302" s="114"/>
      <c r="AI302" s="114"/>
      <c r="AJ302" s="130"/>
      <c r="AK302" s="130"/>
      <c r="AL302" s="130"/>
      <c r="AM302" s="130"/>
      <c r="AN302" s="130"/>
      <c r="AO302" s="130"/>
      <c r="AP302" s="130"/>
      <c r="AQ302" s="130"/>
      <c r="AR302" s="130"/>
      <c r="AS302" s="130"/>
      <c r="BC302" s="250"/>
      <c r="BE302" s="119"/>
    </row>
    <row r="303" spans="34:57" ht="14.15" customHeight="1" x14ac:dyDescent="0.35">
      <c r="AH303" s="114"/>
      <c r="AI303" s="114"/>
      <c r="AJ303" s="130"/>
      <c r="AK303" s="130"/>
      <c r="AL303" s="130"/>
      <c r="AM303" s="130"/>
      <c r="AN303" s="130"/>
      <c r="AO303" s="130"/>
      <c r="AP303" s="130"/>
      <c r="AQ303" s="130"/>
      <c r="AR303" s="130"/>
      <c r="AS303" s="130"/>
      <c r="BC303" s="250"/>
      <c r="BE303" s="119"/>
    </row>
    <row r="304" spans="34:57" ht="14.15" customHeight="1" x14ac:dyDescent="0.35">
      <c r="AH304" s="114"/>
      <c r="AI304" s="114"/>
      <c r="AJ304" s="130"/>
      <c r="AK304" s="130"/>
      <c r="AL304" s="130"/>
      <c r="AM304" s="130"/>
      <c r="AN304" s="130"/>
      <c r="AO304" s="130"/>
      <c r="AP304" s="130"/>
      <c r="AQ304" s="130"/>
      <c r="AR304" s="130"/>
      <c r="AS304" s="130"/>
      <c r="BC304" s="250"/>
      <c r="BE304" s="119"/>
    </row>
    <row r="305" spans="34:57" ht="14.15" customHeight="1" x14ac:dyDescent="0.35">
      <c r="AH305" s="114"/>
      <c r="AI305" s="114"/>
      <c r="AJ305" s="130"/>
      <c r="AK305" s="130"/>
      <c r="AL305" s="130"/>
      <c r="AM305" s="130"/>
      <c r="AN305" s="130"/>
      <c r="AO305" s="130"/>
      <c r="AP305" s="130"/>
      <c r="AQ305" s="130"/>
      <c r="AR305" s="130"/>
      <c r="AS305" s="130"/>
      <c r="BC305" s="250"/>
      <c r="BE305" s="119"/>
    </row>
    <row r="306" spans="34:57" ht="14.15" customHeight="1" x14ac:dyDescent="0.35">
      <c r="AH306" s="114"/>
      <c r="AI306" s="114"/>
      <c r="AJ306" s="130"/>
      <c r="AK306" s="130"/>
      <c r="AL306" s="130"/>
      <c r="AM306" s="130"/>
      <c r="AN306" s="130"/>
      <c r="AO306" s="130"/>
      <c r="AP306" s="130"/>
      <c r="AQ306" s="130"/>
      <c r="AR306" s="130"/>
      <c r="AS306" s="130"/>
      <c r="BC306" s="250"/>
      <c r="BE306" s="119"/>
    </row>
    <row r="307" spans="34:57" ht="14.15" customHeight="1" x14ac:dyDescent="0.35">
      <c r="AH307" s="114"/>
      <c r="AI307" s="114"/>
      <c r="AJ307" s="130"/>
      <c r="AK307" s="130"/>
      <c r="AL307" s="130"/>
      <c r="AM307" s="130"/>
      <c r="AN307" s="130"/>
      <c r="AO307" s="130"/>
      <c r="AP307" s="130"/>
      <c r="AQ307" s="130"/>
      <c r="AR307" s="130"/>
      <c r="AS307" s="130"/>
      <c r="BC307" s="250"/>
      <c r="BE307" s="119"/>
    </row>
    <row r="308" spans="34:57" ht="14.15" customHeight="1" x14ac:dyDescent="0.35">
      <c r="AH308" s="114"/>
      <c r="AI308" s="114"/>
      <c r="AJ308" s="130"/>
      <c r="AK308" s="130"/>
      <c r="AL308" s="130"/>
      <c r="AM308" s="130"/>
      <c r="AN308" s="130"/>
      <c r="AO308" s="130"/>
      <c r="AP308" s="130"/>
      <c r="AQ308" s="130"/>
      <c r="AR308" s="130"/>
      <c r="AS308" s="130"/>
      <c r="BC308" s="250"/>
      <c r="BE308" s="119"/>
    </row>
    <row r="309" spans="34:57" ht="14.15" customHeight="1" x14ac:dyDescent="0.35">
      <c r="AH309" s="114"/>
      <c r="AI309" s="114"/>
      <c r="AJ309" s="130"/>
      <c r="AK309" s="130"/>
      <c r="AL309" s="130"/>
      <c r="AM309" s="130"/>
      <c r="AN309" s="130"/>
      <c r="AO309" s="130"/>
      <c r="AP309" s="130"/>
      <c r="AQ309" s="130"/>
      <c r="AR309" s="130"/>
      <c r="AS309" s="130"/>
      <c r="BC309" s="250"/>
      <c r="BE309" s="119"/>
    </row>
    <row r="310" spans="34:57" ht="14.15" customHeight="1" x14ac:dyDescent="0.35">
      <c r="AH310" s="114"/>
      <c r="AI310" s="114"/>
      <c r="AJ310" s="130"/>
      <c r="AK310" s="130"/>
      <c r="AL310" s="130"/>
      <c r="AM310" s="130"/>
      <c r="AN310" s="130"/>
      <c r="AO310" s="130"/>
      <c r="AP310" s="130"/>
      <c r="AQ310" s="130"/>
      <c r="AR310" s="130"/>
      <c r="AS310" s="130"/>
      <c r="BC310" s="250"/>
      <c r="BE310" s="119"/>
    </row>
    <row r="311" spans="34:57" ht="14.15" customHeight="1" x14ac:dyDescent="0.35">
      <c r="AH311" s="114"/>
      <c r="AI311" s="114"/>
      <c r="AJ311" s="130"/>
      <c r="AK311" s="130"/>
      <c r="AL311" s="130"/>
      <c r="AM311" s="130"/>
      <c r="AN311" s="130"/>
      <c r="AO311" s="130"/>
      <c r="AP311" s="130"/>
      <c r="AQ311" s="130"/>
      <c r="AR311" s="130"/>
      <c r="AS311" s="130"/>
      <c r="BC311" s="250"/>
      <c r="BE311" s="119"/>
    </row>
    <row r="312" spans="34:57" ht="14.15" customHeight="1" x14ac:dyDescent="0.35">
      <c r="AH312" s="114"/>
      <c r="AI312" s="114"/>
      <c r="AJ312" s="130"/>
      <c r="AK312" s="130"/>
      <c r="AL312" s="130"/>
      <c r="AM312" s="130"/>
      <c r="AN312" s="130"/>
      <c r="AO312" s="130"/>
      <c r="AP312" s="130"/>
      <c r="AQ312" s="130"/>
      <c r="AR312" s="130"/>
      <c r="AS312" s="130"/>
      <c r="BC312" s="250"/>
      <c r="BE312" s="119"/>
    </row>
    <row r="313" spans="34:57" ht="14.15" customHeight="1" x14ac:dyDescent="0.35">
      <c r="AH313" s="114"/>
      <c r="AI313" s="114"/>
      <c r="AJ313" s="130"/>
      <c r="AK313" s="130"/>
      <c r="AL313" s="130"/>
      <c r="AM313" s="130"/>
      <c r="AN313" s="130"/>
      <c r="AO313" s="130"/>
      <c r="AP313" s="130"/>
      <c r="AQ313" s="130"/>
      <c r="AR313" s="130"/>
      <c r="AS313" s="130"/>
      <c r="BC313" s="250"/>
      <c r="BE313" s="119"/>
    </row>
    <row r="314" spans="34:57" ht="14.15" customHeight="1" x14ac:dyDescent="0.35">
      <c r="AH314" s="114"/>
      <c r="AI314" s="114"/>
      <c r="AJ314" s="130"/>
      <c r="AK314" s="130"/>
      <c r="AL314" s="130"/>
      <c r="AM314" s="130"/>
      <c r="AN314" s="130"/>
      <c r="AO314" s="130"/>
      <c r="AP314" s="130"/>
      <c r="AQ314" s="130"/>
      <c r="AR314" s="130"/>
      <c r="AS314" s="130"/>
      <c r="BC314" s="250"/>
      <c r="BE314" s="119"/>
    </row>
    <row r="315" spans="34:57" ht="14.15" customHeight="1" x14ac:dyDescent="0.35">
      <c r="AH315" s="114"/>
      <c r="AI315" s="114"/>
      <c r="AJ315" s="130"/>
      <c r="AK315" s="130"/>
      <c r="AL315" s="130"/>
      <c r="AM315" s="130"/>
      <c r="AN315" s="130"/>
      <c r="AO315" s="130"/>
      <c r="AP315" s="130"/>
      <c r="AQ315" s="130"/>
      <c r="AR315" s="130"/>
      <c r="AS315" s="130"/>
      <c r="BC315" s="250"/>
      <c r="BE315" s="119"/>
    </row>
    <row r="316" spans="34:57" ht="14.15" customHeight="1" x14ac:dyDescent="0.35">
      <c r="AH316" s="114"/>
      <c r="AI316" s="114"/>
      <c r="AJ316" s="130"/>
      <c r="AK316" s="130"/>
      <c r="AL316" s="130"/>
      <c r="AM316" s="130"/>
      <c r="AN316" s="130"/>
      <c r="AO316" s="130"/>
      <c r="AP316" s="130"/>
      <c r="AQ316" s="130"/>
      <c r="AR316" s="130"/>
      <c r="AS316" s="130"/>
      <c r="BC316" s="250"/>
      <c r="BE316" s="119"/>
    </row>
    <row r="317" spans="34:57" ht="14.15" customHeight="1" x14ac:dyDescent="0.35">
      <c r="AH317" s="114"/>
      <c r="AI317" s="114"/>
      <c r="AJ317" s="130"/>
      <c r="AK317" s="130"/>
      <c r="AL317" s="130"/>
      <c r="AM317" s="130"/>
      <c r="AN317" s="130"/>
      <c r="AO317" s="130"/>
      <c r="AP317" s="130"/>
      <c r="AQ317" s="130"/>
      <c r="AR317" s="130"/>
      <c r="AS317" s="130"/>
      <c r="BC317" s="250"/>
      <c r="BE317" s="119"/>
    </row>
    <row r="318" spans="34:57" ht="14.15" customHeight="1" x14ac:dyDescent="0.35">
      <c r="AH318" s="114"/>
      <c r="AI318" s="114"/>
      <c r="AJ318" s="130"/>
      <c r="AK318" s="130"/>
      <c r="AL318" s="130"/>
      <c r="AM318" s="130"/>
      <c r="AN318" s="130"/>
      <c r="AO318" s="130"/>
      <c r="AP318" s="130"/>
      <c r="AQ318" s="130"/>
      <c r="AR318" s="130"/>
      <c r="AS318" s="130"/>
      <c r="BC318" s="250"/>
      <c r="BE318" s="119"/>
    </row>
    <row r="319" spans="34:57" ht="14.15" customHeight="1" x14ac:dyDescent="0.35">
      <c r="AH319" s="114"/>
      <c r="AI319" s="114"/>
      <c r="AJ319" s="130"/>
      <c r="AK319" s="130"/>
      <c r="AL319" s="130"/>
      <c r="AM319" s="130"/>
      <c r="AN319" s="130"/>
      <c r="AO319" s="130"/>
      <c r="AP319" s="130"/>
      <c r="AQ319" s="130"/>
      <c r="AR319" s="130"/>
      <c r="AS319" s="130"/>
      <c r="BC319" s="250"/>
      <c r="BE319" s="119"/>
    </row>
    <row r="320" spans="34:57" ht="14.15" customHeight="1" x14ac:dyDescent="0.35">
      <c r="AH320" s="114"/>
      <c r="AI320" s="114"/>
      <c r="AJ320" s="130"/>
      <c r="AK320" s="130"/>
      <c r="AL320" s="130"/>
      <c r="AM320" s="130"/>
      <c r="AN320" s="130"/>
      <c r="AO320" s="130"/>
      <c r="AP320" s="130"/>
      <c r="AQ320" s="130"/>
      <c r="AR320" s="130"/>
      <c r="AS320" s="130"/>
      <c r="BC320" s="250"/>
      <c r="BE320" s="119"/>
    </row>
    <row r="321" spans="34:57" ht="14.15" customHeight="1" x14ac:dyDescent="0.35">
      <c r="AH321" s="114"/>
      <c r="AI321" s="114"/>
      <c r="AJ321" s="130"/>
      <c r="AK321" s="130"/>
      <c r="AL321" s="130"/>
      <c r="AM321" s="130"/>
      <c r="AN321" s="130"/>
      <c r="AO321" s="130"/>
      <c r="AP321" s="130"/>
      <c r="AQ321" s="130"/>
      <c r="AR321" s="130"/>
      <c r="AS321" s="130"/>
      <c r="BC321" s="250"/>
      <c r="BE321" s="119"/>
    </row>
    <row r="322" spans="34:57" ht="14.15" customHeight="1" x14ac:dyDescent="0.35">
      <c r="AH322" s="114"/>
      <c r="AI322" s="114"/>
      <c r="AJ322" s="130"/>
      <c r="AK322" s="130"/>
      <c r="AL322" s="130"/>
      <c r="AM322" s="130"/>
      <c r="AN322" s="130"/>
      <c r="AO322" s="130"/>
      <c r="AP322" s="130"/>
      <c r="AQ322" s="130"/>
      <c r="AR322" s="130"/>
      <c r="AS322" s="130"/>
      <c r="BC322" s="250"/>
      <c r="BE322" s="119"/>
    </row>
    <row r="323" spans="34:57" ht="14.15" customHeight="1" x14ac:dyDescent="0.35">
      <c r="AH323" s="114"/>
      <c r="AI323" s="114"/>
      <c r="AJ323" s="130"/>
      <c r="AK323" s="130"/>
      <c r="AL323" s="130"/>
      <c r="AM323" s="130"/>
      <c r="AN323" s="130"/>
      <c r="AO323" s="130"/>
      <c r="AP323" s="130"/>
      <c r="AQ323" s="130"/>
      <c r="AR323" s="130"/>
      <c r="AS323" s="130"/>
      <c r="BC323" s="250"/>
      <c r="BE323" s="119"/>
    </row>
    <row r="324" spans="34:57" ht="14.15" customHeight="1" x14ac:dyDescent="0.35">
      <c r="AH324" s="114"/>
      <c r="AI324" s="114"/>
      <c r="AJ324" s="130"/>
      <c r="AK324" s="130"/>
      <c r="AL324" s="130"/>
      <c r="AM324" s="130"/>
      <c r="AN324" s="130"/>
      <c r="AO324" s="130"/>
      <c r="AP324" s="130"/>
      <c r="AQ324" s="130"/>
      <c r="AR324" s="130"/>
      <c r="AS324" s="130"/>
      <c r="BC324" s="250"/>
      <c r="BE324" s="119"/>
    </row>
    <row r="325" spans="34:57" ht="14.15" customHeight="1" x14ac:dyDescent="0.35">
      <c r="AH325" s="114"/>
      <c r="AI325" s="114"/>
      <c r="AJ325" s="130"/>
      <c r="AK325" s="130"/>
      <c r="AL325" s="130"/>
      <c r="AM325" s="130"/>
      <c r="AN325" s="130"/>
      <c r="AO325" s="130"/>
      <c r="AP325" s="130"/>
      <c r="AQ325" s="130"/>
      <c r="AR325" s="130"/>
      <c r="AS325" s="130"/>
      <c r="BC325" s="250"/>
      <c r="BE325" s="119"/>
    </row>
    <row r="326" spans="34:57" ht="14.15" customHeight="1" x14ac:dyDescent="0.35">
      <c r="AH326" s="114"/>
      <c r="AI326" s="114"/>
      <c r="AJ326" s="130"/>
      <c r="AK326" s="130"/>
      <c r="AL326" s="130"/>
      <c r="AM326" s="130"/>
      <c r="AN326" s="130"/>
      <c r="AO326" s="130"/>
      <c r="AP326" s="130"/>
      <c r="AQ326" s="130"/>
      <c r="AR326" s="130"/>
      <c r="AS326" s="130"/>
      <c r="BC326" s="250"/>
      <c r="BE326" s="119"/>
    </row>
    <row r="327" spans="34:57" ht="14.15" customHeight="1" x14ac:dyDescent="0.35">
      <c r="AH327" s="114"/>
      <c r="AI327" s="114"/>
      <c r="AJ327" s="130"/>
      <c r="AK327" s="130"/>
      <c r="AL327" s="130"/>
      <c r="AM327" s="130"/>
      <c r="AN327" s="130"/>
      <c r="AO327" s="130"/>
      <c r="AP327" s="130"/>
      <c r="AQ327" s="130"/>
      <c r="AR327" s="130"/>
      <c r="AS327" s="130"/>
      <c r="BC327" s="250"/>
      <c r="BE327" s="119"/>
    </row>
    <row r="328" spans="34:57" ht="14.15" customHeight="1" x14ac:dyDescent="0.35">
      <c r="AH328" s="114"/>
      <c r="AI328" s="114"/>
      <c r="AJ328" s="130"/>
      <c r="AK328" s="130"/>
      <c r="AL328" s="130"/>
      <c r="AM328" s="130"/>
      <c r="AN328" s="130"/>
      <c r="AO328" s="130"/>
      <c r="AP328" s="130"/>
      <c r="AQ328" s="130"/>
      <c r="AR328" s="130"/>
      <c r="AS328" s="130"/>
      <c r="BC328" s="250"/>
      <c r="BE328" s="119"/>
    </row>
    <row r="329" spans="34:57" ht="14.15" customHeight="1" x14ac:dyDescent="0.35">
      <c r="AH329" s="114"/>
      <c r="AI329" s="114"/>
      <c r="AJ329" s="130"/>
      <c r="AK329" s="130"/>
      <c r="AL329" s="130"/>
      <c r="AM329" s="130"/>
      <c r="AN329" s="130"/>
      <c r="AO329" s="130"/>
      <c r="AP329" s="130"/>
      <c r="AQ329" s="130"/>
      <c r="AR329" s="130"/>
      <c r="AS329" s="130"/>
      <c r="BC329" s="250"/>
      <c r="BE329" s="119"/>
    </row>
    <row r="330" spans="34:57" ht="14.15" customHeight="1" x14ac:dyDescent="0.35">
      <c r="AH330" s="114"/>
      <c r="AI330" s="114"/>
      <c r="AJ330" s="130"/>
      <c r="AK330" s="130"/>
      <c r="AL330" s="130"/>
      <c r="AM330" s="130"/>
      <c r="AN330" s="130"/>
      <c r="AO330" s="130"/>
      <c r="AP330" s="130"/>
      <c r="AQ330" s="130"/>
      <c r="AR330" s="130"/>
      <c r="AS330" s="130"/>
      <c r="BC330" s="250"/>
      <c r="BE330" s="119"/>
    </row>
    <row r="331" spans="34:57" ht="14.15" customHeight="1" x14ac:dyDescent="0.35">
      <c r="AH331" s="114"/>
      <c r="AI331" s="114"/>
      <c r="AJ331" s="130"/>
      <c r="AK331" s="130"/>
      <c r="AL331" s="130"/>
      <c r="AM331" s="130"/>
      <c r="AN331" s="130"/>
      <c r="AO331" s="130"/>
      <c r="AP331" s="130"/>
      <c r="AQ331" s="130"/>
      <c r="AR331" s="130"/>
      <c r="AS331" s="130"/>
      <c r="BC331" s="250"/>
      <c r="BE331" s="119"/>
    </row>
    <row r="332" spans="34:57" ht="14.15" customHeight="1" x14ac:dyDescent="0.35">
      <c r="AH332" s="114"/>
      <c r="AI332" s="114"/>
      <c r="AJ332" s="130"/>
      <c r="AK332" s="130"/>
      <c r="AL332" s="130"/>
      <c r="AM332" s="130"/>
      <c r="AN332" s="130"/>
      <c r="AO332" s="130"/>
      <c r="AP332" s="130"/>
      <c r="AQ332" s="130"/>
      <c r="AR332" s="130"/>
      <c r="AS332" s="130"/>
      <c r="BC332" s="250"/>
      <c r="BE332" s="119"/>
    </row>
    <row r="333" spans="34:57" ht="14.15" customHeight="1" x14ac:dyDescent="0.35">
      <c r="AH333" s="114"/>
      <c r="AI333" s="114"/>
      <c r="AJ333" s="130"/>
      <c r="AK333" s="130"/>
      <c r="AL333" s="130"/>
      <c r="AM333" s="130"/>
      <c r="AN333" s="130"/>
      <c r="AO333" s="130"/>
      <c r="AP333" s="130"/>
      <c r="AQ333" s="130"/>
      <c r="AR333" s="130"/>
      <c r="AS333" s="130"/>
      <c r="BC333" s="250"/>
      <c r="BE333" s="119"/>
    </row>
    <row r="334" spans="34:57" ht="14.15" customHeight="1" x14ac:dyDescent="0.35">
      <c r="AH334" s="114"/>
      <c r="AI334" s="114"/>
      <c r="AJ334" s="130"/>
      <c r="AK334" s="130"/>
      <c r="AL334" s="130"/>
      <c r="AM334" s="130"/>
      <c r="AN334" s="130"/>
      <c r="AO334" s="130"/>
      <c r="AP334" s="130"/>
      <c r="AQ334" s="130"/>
      <c r="AR334" s="130"/>
      <c r="AS334" s="130"/>
      <c r="BC334" s="250"/>
      <c r="BE334" s="119"/>
    </row>
    <row r="335" spans="34:57" ht="14.15" customHeight="1" x14ac:dyDescent="0.35">
      <c r="AH335" s="114"/>
      <c r="AI335" s="114"/>
      <c r="AJ335" s="130"/>
      <c r="AK335" s="130"/>
      <c r="AL335" s="130"/>
      <c r="AM335" s="130"/>
      <c r="AN335" s="130"/>
      <c r="AO335" s="130"/>
      <c r="AP335" s="130"/>
      <c r="AQ335" s="130"/>
      <c r="AR335" s="130"/>
      <c r="AS335" s="130"/>
      <c r="BC335" s="250"/>
      <c r="BE335" s="119"/>
    </row>
    <row r="336" spans="34:57" ht="14.15" customHeight="1" x14ac:dyDescent="0.35">
      <c r="AH336" s="114"/>
      <c r="AI336" s="114"/>
      <c r="AJ336" s="130"/>
      <c r="AK336" s="130"/>
      <c r="AL336" s="130"/>
      <c r="AM336" s="130"/>
      <c r="AN336" s="130"/>
      <c r="AO336" s="130"/>
      <c r="AP336" s="130"/>
      <c r="AQ336" s="130"/>
      <c r="AR336" s="130"/>
      <c r="AS336" s="130"/>
      <c r="BC336" s="250"/>
      <c r="BE336" s="119"/>
    </row>
    <row r="337" spans="34:57" ht="14.15" customHeight="1" x14ac:dyDescent="0.35">
      <c r="AH337" s="114"/>
      <c r="AI337" s="114"/>
      <c r="AJ337" s="130"/>
      <c r="AK337" s="130"/>
      <c r="AL337" s="130"/>
      <c r="AM337" s="130"/>
      <c r="AN337" s="130"/>
      <c r="AO337" s="130"/>
      <c r="AP337" s="130"/>
      <c r="AQ337" s="130"/>
      <c r="AR337" s="130"/>
      <c r="AS337" s="130"/>
      <c r="BC337" s="250"/>
      <c r="BE337" s="119"/>
    </row>
    <row r="338" spans="34:57" ht="14.15" customHeight="1" x14ac:dyDescent="0.35">
      <c r="AH338" s="114"/>
      <c r="AI338" s="114"/>
      <c r="AJ338" s="130"/>
      <c r="AK338" s="130"/>
      <c r="AL338" s="130"/>
      <c r="AM338" s="130"/>
      <c r="AN338" s="130"/>
      <c r="AO338" s="130"/>
      <c r="AP338" s="130"/>
      <c r="AQ338" s="130"/>
      <c r="AR338" s="130"/>
      <c r="AS338" s="130"/>
      <c r="BC338" s="250"/>
      <c r="BE338" s="119"/>
    </row>
    <row r="339" spans="34:57" ht="14.15" customHeight="1" x14ac:dyDescent="0.35">
      <c r="AH339" s="114"/>
      <c r="AI339" s="114"/>
      <c r="AJ339" s="130"/>
      <c r="AK339" s="130"/>
      <c r="AL339" s="130"/>
      <c r="AM339" s="130"/>
      <c r="AN339" s="130"/>
      <c r="AO339" s="130"/>
      <c r="AP339" s="130"/>
      <c r="AQ339" s="130"/>
      <c r="AR339" s="130"/>
      <c r="AS339" s="130"/>
      <c r="BC339" s="250"/>
      <c r="BE339" s="119"/>
    </row>
    <row r="340" spans="34:57" ht="14.15" customHeight="1" x14ac:dyDescent="0.35">
      <c r="AH340" s="114"/>
      <c r="AI340" s="114"/>
      <c r="AJ340" s="130"/>
      <c r="AK340" s="130"/>
      <c r="AL340" s="130"/>
      <c r="AM340" s="130"/>
      <c r="AN340" s="130"/>
      <c r="AO340" s="130"/>
      <c r="AP340" s="130"/>
      <c r="AQ340" s="130"/>
      <c r="AR340" s="130"/>
      <c r="AS340" s="130"/>
      <c r="BC340" s="250"/>
      <c r="BE340" s="119"/>
    </row>
    <row r="341" spans="34:57" ht="14.15" customHeight="1" x14ac:dyDescent="0.35">
      <c r="AH341" s="114"/>
      <c r="AI341" s="114"/>
      <c r="AJ341" s="130"/>
      <c r="AK341" s="130"/>
      <c r="AL341" s="130"/>
      <c r="AM341" s="130"/>
      <c r="AN341" s="130"/>
      <c r="AO341" s="130"/>
      <c r="AP341" s="130"/>
      <c r="AQ341" s="130"/>
      <c r="AR341" s="130"/>
      <c r="AS341" s="130"/>
      <c r="BC341" s="250"/>
      <c r="BE341" s="119"/>
    </row>
    <row r="342" spans="34:57" ht="14.15" customHeight="1" x14ac:dyDescent="0.35">
      <c r="AH342" s="114"/>
      <c r="AI342" s="114"/>
      <c r="AJ342" s="130"/>
      <c r="AK342" s="130"/>
      <c r="AL342" s="130"/>
      <c r="AM342" s="130"/>
      <c r="AN342" s="130"/>
      <c r="AO342" s="130"/>
      <c r="AP342" s="130"/>
      <c r="AQ342" s="130"/>
      <c r="AR342" s="130"/>
      <c r="AS342" s="130"/>
      <c r="BC342" s="250"/>
      <c r="BE342" s="119"/>
    </row>
    <row r="343" spans="34:57" ht="14.15" customHeight="1" x14ac:dyDescent="0.35">
      <c r="AH343" s="114"/>
      <c r="AI343" s="114"/>
      <c r="AJ343" s="130"/>
      <c r="AK343" s="130"/>
      <c r="AL343" s="130"/>
      <c r="AM343" s="130"/>
      <c r="AN343" s="130"/>
      <c r="AO343" s="130"/>
      <c r="AP343" s="130"/>
      <c r="AQ343" s="130"/>
      <c r="AR343" s="130"/>
      <c r="AS343" s="130"/>
      <c r="BC343" s="250"/>
      <c r="BE343" s="119"/>
    </row>
    <row r="344" spans="34:57" ht="14.15" customHeight="1" x14ac:dyDescent="0.35">
      <c r="AH344" s="114"/>
      <c r="AI344" s="114"/>
      <c r="AJ344" s="130"/>
      <c r="AK344" s="130"/>
      <c r="AL344" s="130"/>
      <c r="AM344" s="130"/>
      <c r="AN344" s="130"/>
      <c r="AO344" s="130"/>
      <c r="AP344" s="130"/>
      <c r="AQ344" s="130"/>
      <c r="AR344" s="130"/>
      <c r="AS344" s="130"/>
      <c r="BC344" s="250"/>
      <c r="BE344" s="119"/>
    </row>
    <row r="345" spans="34:57" ht="14.15" customHeight="1" x14ac:dyDescent="0.35">
      <c r="AH345" s="114"/>
      <c r="AI345" s="114"/>
      <c r="AJ345" s="130"/>
      <c r="AK345" s="130"/>
      <c r="AL345" s="130"/>
      <c r="AM345" s="130"/>
      <c r="AN345" s="130"/>
      <c r="AO345" s="130"/>
      <c r="AP345" s="130"/>
      <c r="AQ345" s="130"/>
      <c r="AR345" s="130"/>
      <c r="AS345" s="130"/>
      <c r="BC345" s="250"/>
      <c r="BE345" s="119"/>
    </row>
    <row r="346" spans="34:57" ht="14.15" customHeight="1" x14ac:dyDescent="0.35">
      <c r="AH346" s="114"/>
      <c r="AI346" s="114"/>
      <c r="AJ346" s="130"/>
      <c r="AK346" s="130"/>
      <c r="AL346" s="130"/>
      <c r="AM346" s="130"/>
      <c r="AN346" s="130"/>
      <c r="AO346" s="130"/>
      <c r="AP346" s="130"/>
      <c r="AQ346" s="130"/>
      <c r="AR346" s="130"/>
      <c r="AS346" s="130"/>
      <c r="BC346" s="250"/>
      <c r="BE346" s="119"/>
    </row>
    <row r="347" spans="34:57" ht="14.15" customHeight="1" x14ac:dyDescent="0.35">
      <c r="AH347" s="114"/>
      <c r="AI347" s="114"/>
      <c r="AJ347" s="130"/>
      <c r="AK347" s="130"/>
      <c r="AL347" s="130"/>
      <c r="AM347" s="130"/>
      <c r="AN347" s="130"/>
      <c r="AO347" s="130"/>
      <c r="AP347" s="130"/>
      <c r="AQ347" s="130"/>
      <c r="AR347" s="130"/>
      <c r="AS347" s="130"/>
      <c r="BC347" s="250"/>
      <c r="BE347" s="119"/>
    </row>
    <row r="348" spans="34:57" ht="14.15" customHeight="1" x14ac:dyDescent="0.35">
      <c r="AH348" s="114"/>
      <c r="AI348" s="114"/>
      <c r="AJ348" s="130"/>
      <c r="AK348" s="130"/>
      <c r="AL348" s="130"/>
      <c r="AM348" s="130"/>
      <c r="AN348" s="130"/>
      <c r="AO348" s="130"/>
      <c r="AP348" s="130"/>
      <c r="AQ348" s="130"/>
      <c r="AR348" s="130"/>
      <c r="AS348" s="130"/>
      <c r="BC348" s="250"/>
      <c r="BE348" s="119"/>
    </row>
    <row r="349" spans="34:57" ht="14.15" customHeight="1" x14ac:dyDescent="0.35">
      <c r="AH349" s="114"/>
      <c r="AI349" s="114"/>
      <c r="AJ349" s="130"/>
      <c r="AK349" s="130"/>
      <c r="AL349" s="130"/>
      <c r="AM349" s="130"/>
      <c r="AN349" s="130"/>
      <c r="AO349" s="130"/>
      <c r="AP349" s="130"/>
      <c r="AQ349" s="130"/>
      <c r="AR349" s="130"/>
      <c r="AS349" s="130"/>
      <c r="BC349" s="250"/>
      <c r="BE349" s="119"/>
    </row>
    <row r="350" spans="34:57" ht="14.15" customHeight="1" x14ac:dyDescent="0.35">
      <c r="AH350" s="114"/>
      <c r="AI350" s="114"/>
      <c r="AJ350" s="130"/>
      <c r="AK350" s="130"/>
      <c r="AL350" s="130"/>
      <c r="AM350" s="130"/>
      <c r="AN350" s="130"/>
      <c r="AO350" s="130"/>
      <c r="AP350" s="130"/>
      <c r="AQ350" s="130"/>
      <c r="AR350" s="130"/>
      <c r="AS350" s="130"/>
      <c r="BC350" s="250"/>
      <c r="BE350" s="119"/>
    </row>
    <row r="351" spans="34:57" ht="14.15" customHeight="1" x14ac:dyDescent="0.35">
      <c r="AH351" s="114"/>
      <c r="AI351" s="114"/>
      <c r="AJ351" s="130"/>
      <c r="AK351" s="130"/>
      <c r="AL351" s="130"/>
      <c r="AM351" s="130"/>
      <c r="AN351" s="130"/>
      <c r="AO351" s="130"/>
      <c r="AP351" s="130"/>
      <c r="AQ351" s="130"/>
      <c r="AR351" s="130"/>
      <c r="AS351" s="130"/>
      <c r="BC351" s="250"/>
      <c r="BE351" s="119"/>
    </row>
    <row r="352" spans="34:57" ht="14.15" customHeight="1" x14ac:dyDescent="0.35">
      <c r="AH352" s="114"/>
      <c r="AI352" s="114"/>
      <c r="AJ352" s="130"/>
      <c r="AK352" s="130"/>
      <c r="AL352" s="130"/>
      <c r="AM352" s="130"/>
      <c r="AN352" s="130"/>
      <c r="AO352" s="130"/>
      <c r="AP352" s="130"/>
      <c r="AQ352" s="130"/>
      <c r="AR352" s="130"/>
      <c r="AS352" s="130"/>
      <c r="BC352" s="250"/>
      <c r="BE352" s="119"/>
    </row>
    <row r="353" spans="34:57" ht="14.15" customHeight="1" x14ac:dyDescent="0.35">
      <c r="AH353" s="114"/>
      <c r="AI353" s="114"/>
      <c r="AJ353" s="130"/>
      <c r="AK353" s="130"/>
      <c r="AL353" s="130"/>
      <c r="AM353" s="130"/>
      <c r="AN353" s="130"/>
      <c r="AO353" s="130"/>
      <c r="AP353" s="130"/>
      <c r="AQ353" s="130"/>
      <c r="AR353" s="130"/>
      <c r="AS353" s="130"/>
      <c r="BC353" s="250"/>
      <c r="BE353" s="119"/>
    </row>
    <row r="354" spans="34:57" ht="14.15" customHeight="1" x14ac:dyDescent="0.35">
      <c r="AH354" s="114"/>
      <c r="AI354" s="114"/>
      <c r="AJ354" s="130"/>
      <c r="AK354" s="130"/>
      <c r="AL354" s="130"/>
      <c r="AM354" s="130"/>
      <c r="AN354" s="130"/>
      <c r="AO354" s="130"/>
      <c r="AP354" s="130"/>
      <c r="AQ354" s="130"/>
      <c r="AR354" s="130"/>
      <c r="AS354" s="130"/>
      <c r="BC354" s="250"/>
      <c r="BE354" s="119"/>
    </row>
    <row r="355" spans="34:57" ht="14.15" customHeight="1" x14ac:dyDescent="0.35">
      <c r="AH355" s="114"/>
      <c r="AI355" s="114"/>
      <c r="AJ355" s="130"/>
      <c r="AK355" s="130"/>
      <c r="AL355" s="130"/>
      <c r="AM355" s="130"/>
      <c r="AN355" s="130"/>
      <c r="AO355" s="130"/>
      <c r="AP355" s="130"/>
      <c r="AQ355" s="130"/>
      <c r="AR355" s="130"/>
      <c r="AS355" s="130"/>
      <c r="BC355" s="250"/>
      <c r="BE355" s="119"/>
    </row>
    <row r="356" spans="34:57" ht="14.15" customHeight="1" x14ac:dyDescent="0.35">
      <c r="AH356" s="114"/>
      <c r="AI356" s="114"/>
      <c r="AJ356" s="130"/>
      <c r="AK356" s="130"/>
      <c r="AL356" s="130"/>
      <c r="AM356" s="130"/>
      <c r="AN356" s="130"/>
      <c r="AO356" s="130"/>
      <c r="AP356" s="130"/>
      <c r="AQ356" s="130"/>
      <c r="AR356" s="130"/>
      <c r="AS356" s="130"/>
      <c r="BC356" s="250"/>
      <c r="BE356" s="119"/>
    </row>
    <row r="357" spans="34:57" ht="14.15" customHeight="1" x14ac:dyDescent="0.35">
      <c r="AH357" s="114"/>
      <c r="AI357" s="114"/>
      <c r="AJ357" s="130"/>
      <c r="AK357" s="130"/>
      <c r="AL357" s="130"/>
      <c r="AM357" s="130"/>
      <c r="AN357" s="130"/>
      <c r="AO357" s="130"/>
      <c r="AP357" s="130"/>
      <c r="AQ357" s="130"/>
      <c r="AR357" s="130"/>
      <c r="AS357" s="130"/>
      <c r="BC357" s="250"/>
      <c r="BE357" s="119"/>
    </row>
    <row r="358" spans="34:57" ht="14.15" customHeight="1" x14ac:dyDescent="0.35">
      <c r="AH358" s="114"/>
      <c r="AI358" s="114"/>
      <c r="AJ358" s="130"/>
      <c r="AK358" s="130"/>
      <c r="AL358" s="130"/>
      <c r="AM358" s="130"/>
      <c r="AN358" s="130"/>
      <c r="AO358" s="130"/>
      <c r="AP358" s="130"/>
      <c r="AQ358" s="130"/>
      <c r="AR358" s="130"/>
      <c r="AS358" s="130"/>
      <c r="BC358" s="250"/>
      <c r="BE358" s="119"/>
    </row>
    <row r="359" spans="34:57" ht="14.15" customHeight="1" x14ac:dyDescent="0.35">
      <c r="AH359" s="114"/>
      <c r="AI359" s="114"/>
      <c r="AJ359" s="130"/>
      <c r="AK359" s="130"/>
      <c r="AL359" s="130"/>
      <c r="AM359" s="130"/>
      <c r="AN359" s="130"/>
      <c r="AO359" s="130"/>
      <c r="AP359" s="130"/>
      <c r="AQ359" s="130"/>
      <c r="AR359" s="130"/>
      <c r="AS359" s="130"/>
      <c r="BC359" s="250"/>
      <c r="BE359" s="119"/>
    </row>
    <row r="360" spans="34:57" ht="14.15" customHeight="1" x14ac:dyDescent="0.35">
      <c r="AH360" s="114"/>
      <c r="AI360" s="114"/>
      <c r="AJ360" s="130"/>
      <c r="AK360" s="130"/>
      <c r="AL360" s="130"/>
      <c r="AM360" s="130"/>
      <c r="AN360" s="130"/>
      <c r="AO360" s="130"/>
      <c r="AP360" s="130"/>
      <c r="AQ360" s="130"/>
      <c r="AR360" s="130"/>
      <c r="AS360" s="130"/>
      <c r="BC360" s="250"/>
      <c r="BE360" s="119"/>
    </row>
    <row r="361" spans="34:57" ht="14.15" customHeight="1" x14ac:dyDescent="0.35">
      <c r="AH361" s="114"/>
      <c r="AI361" s="114"/>
      <c r="AJ361" s="130"/>
      <c r="AK361" s="130"/>
      <c r="AL361" s="130"/>
      <c r="AM361" s="130"/>
      <c r="AN361" s="130"/>
      <c r="AO361" s="130"/>
      <c r="AP361" s="130"/>
      <c r="AQ361" s="130"/>
      <c r="AR361" s="130"/>
      <c r="AS361" s="130"/>
      <c r="BC361" s="250"/>
      <c r="BE361" s="119"/>
    </row>
    <row r="362" spans="34:57" ht="14.15" customHeight="1" x14ac:dyDescent="0.35">
      <c r="AH362" s="114"/>
      <c r="AI362" s="114"/>
      <c r="AJ362" s="130"/>
      <c r="AK362" s="130"/>
      <c r="AL362" s="130"/>
      <c r="AM362" s="130"/>
      <c r="AN362" s="130"/>
      <c r="AO362" s="130"/>
      <c r="AP362" s="130"/>
      <c r="AQ362" s="130"/>
      <c r="AR362" s="130"/>
      <c r="AS362" s="130"/>
      <c r="BC362" s="250"/>
      <c r="BE362" s="119"/>
    </row>
    <row r="363" spans="34:57" ht="14.15" customHeight="1" x14ac:dyDescent="0.35">
      <c r="AH363" s="114"/>
      <c r="AI363" s="114"/>
      <c r="AJ363" s="130"/>
      <c r="AK363" s="130"/>
      <c r="AL363" s="130"/>
      <c r="AM363" s="130"/>
      <c r="AN363" s="130"/>
      <c r="AO363" s="130"/>
      <c r="AP363" s="130"/>
      <c r="AQ363" s="130"/>
      <c r="AR363" s="130"/>
      <c r="AS363" s="130"/>
      <c r="BC363" s="250"/>
      <c r="BE363" s="119"/>
    </row>
    <row r="364" spans="34:57" ht="14.15" customHeight="1" x14ac:dyDescent="0.35">
      <c r="AH364" s="114"/>
      <c r="AI364" s="114"/>
      <c r="AJ364" s="130"/>
      <c r="AK364" s="130"/>
      <c r="AL364" s="130"/>
      <c r="AM364" s="130"/>
      <c r="AN364" s="130"/>
      <c r="AO364" s="130"/>
      <c r="AP364" s="130"/>
      <c r="AQ364" s="130"/>
      <c r="AR364" s="130"/>
      <c r="AS364" s="130"/>
      <c r="BC364" s="250"/>
      <c r="BE364" s="119"/>
    </row>
    <row r="365" spans="34:57" ht="14.15" customHeight="1" x14ac:dyDescent="0.35">
      <c r="AH365" s="114"/>
      <c r="AI365" s="114"/>
      <c r="AJ365" s="130"/>
      <c r="AK365" s="130"/>
      <c r="AL365" s="130"/>
      <c r="AM365" s="130"/>
      <c r="AN365" s="130"/>
      <c r="AO365" s="130"/>
      <c r="AP365" s="130"/>
      <c r="AQ365" s="130"/>
      <c r="AR365" s="130"/>
      <c r="AS365" s="130"/>
      <c r="BC365" s="250"/>
      <c r="BE365" s="119"/>
    </row>
    <row r="366" spans="34:57" ht="14.15" customHeight="1" x14ac:dyDescent="0.35">
      <c r="AH366" s="114"/>
      <c r="AI366" s="114"/>
      <c r="AJ366" s="130"/>
      <c r="AK366" s="130"/>
      <c r="AL366" s="130"/>
      <c r="AM366" s="130"/>
      <c r="AN366" s="130"/>
      <c r="AO366" s="130"/>
      <c r="AP366" s="130"/>
      <c r="AQ366" s="130"/>
      <c r="AR366" s="130"/>
      <c r="AS366" s="130"/>
      <c r="BC366" s="250"/>
      <c r="BE366" s="119"/>
    </row>
    <row r="367" spans="34:57" ht="14.15" customHeight="1" x14ac:dyDescent="0.35">
      <c r="AH367" s="114"/>
      <c r="AI367" s="114"/>
      <c r="AJ367" s="130"/>
      <c r="AK367" s="130"/>
      <c r="AL367" s="130"/>
      <c r="AM367" s="130"/>
      <c r="AN367" s="130"/>
      <c r="AO367" s="130"/>
      <c r="AP367" s="130"/>
      <c r="AQ367" s="130"/>
      <c r="AR367" s="130"/>
      <c r="AS367" s="130"/>
      <c r="BC367" s="250"/>
      <c r="BE367" s="119"/>
    </row>
    <row r="368" spans="34:57" ht="14.15" customHeight="1" x14ac:dyDescent="0.35">
      <c r="AH368" s="114"/>
      <c r="AI368" s="114"/>
      <c r="AJ368" s="130"/>
      <c r="AK368" s="130"/>
      <c r="AL368" s="130"/>
      <c r="AM368" s="130"/>
      <c r="AN368" s="130"/>
      <c r="AO368" s="130"/>
      <c r="AP368" s="130"/>
      <c r="AQ368" s="130"/>
      <c r="AR368" s="130"/>
      <c r="AS368" s="130"/>
      <c r="BC368" s="250"/>
      <c r="BE368" s="119"/>
    </row>
    <row r="369" spans="34:57" ht="14.15" customHeight="1" x14ac:dyDescent="0.35">
      <c r="AH369" s="114"/>
      <c r="AI369" s="114"/>
      <c r="AJ369" s="130"/>
      <c r="AK369" s="130"/>
      <c r="AL369" s="130"/>
      <c r="AM369" s="130"/>
      <c r="AN369" s="130"/>
      <c r="AO369" s="130"/>
      <c r="AP369" s="130"/>
      <c r="AQ369" s="130"/>
      <c r="AR369" s="130"/>
      <c r="AS369" s="130"/>
      <c r="BC369" s="250"/>
      <c r="BE369" s="119"/>
    </row>
    <row r="370" spans="34:57" ht="14.15" customHeight="1" x14ac:dyDescent="0.35">
      <c r="AH370" s="114"/>
      <c r="AI370" s="114"/>
      <c r="AJ370" s="130"/>
      <c r="AK370" s="130"/>
      <c r="AL370" s="130"/>
      <c r="AM370" s="130"/>
      <c r="AN370" s="130"/>
      <c r="AO370" s="130"/>
      <c r="AP370" s="130"/>
      <c r="AQ370" s="130"/>
      <c r="AR370" s="130"/>
      <c r="AS370" s="130"/>
      <c r="BC370" s="250"/>
      <c r="BE370" s="119"/>
    </row>
    <row r="371" spans="34:57" ht="14.15" customHeight="1" x14ac:dyDescent="0.35">
      <c r="AH371" s="114"/>
      <c r="AI371" s="114"/>
      <c r="AJ371" s="130"/>
      <c r="AK371" s="130"/>
      <c r="AL371" s="130"/>
      <c r="AM371" s="130"/>
      <c r="AN371" s="130"/>
      <c r="AO371" s="130"/>
      <c r="AP371" s="130"/>
      <c r="AQ371" s="130"/>
      <c r="AR371" s="130"/>
      <c r="AS371" s="130"/>
      <c r="BC371" s="250"/>
      <c r="BE371" s="119"/>
    </row>
    <row r="372" spans="34:57" ht="14.15" customHeight="1" x14ac:dyDescent="0.35">
      <c r="AH372" s="114"/>
      <c r="AI372" s="114"/>
      <c r="AJ372" s="130"/>
      <c r="AK372" s="130"/>
      <c r="AL372" s="130"/>
      <c r="AM372" s="130"/>
      <c r="AN372" s="130"/>
      <c r="AO372" s="130"/>
      <c r="AP372" s="130"/>
      <c r="AQ372" s="130"/>
      <c r="AR372" s="130"/>
      <c r="AS372" s="130"/>
      <c r="BC372" s="250"/>
      <c r="BE372" s="119"/>
    </row>
    <row r="373" spans="34:57" ht="14.15" customHeight="1" x14ac:dyDescent="0.35">
      <c r="AH373" s="114"/>
      <c r="AI373" s="114"/>
      <c r="AJ373" s="130"/>
      <c r="AK373" s="130"/>
      <c r="AL373" s="130"/>
      <c r="AM373" s="130"/>
      <c r="AN373" s="130"/>
      <c r="AO373" s="130"/>
      <c r="AP373" s="130"/>
      <c r="AQ373" s="130"/>
      <c r="AR373" s="130"/>
      <c r="AS373" s="130"/>
      <c r="BC373" s="250"/>
      <c r="BE373" s="119"/>
    </row>
    <row r="374" spans="34:57" ht="14.15" customHeight="1" x14ac:dyDescent="0.35">
      <c r="AH374" s="114"/>
      <c r="AI374" s="114"/>
      <c r="AJ374" s="130"/>
      <c r="AK374" s="130"/>
      <c r="AL374" s="130"/>
      <c r="AM374" s="130"/>
      <c r="AN374" s="130"/>
      <c r="AO374" s="130"/>
      <c r="AP374" s="130"/>
      <c r="AQ374" s="130"/>
      <c r="AR374" s="130"/>
      <c r="AS374" s="130"/>
      <c r="BC374" s="250"/>
      <c r="BE374" s="119"/>
    </row>
    <row r="375" spans="34:57" ht="14.15" customHeight="1" x14ac:dyDescent="0.35">
      <c r="AH375" s="114"/>
      <c r="AI375" s="114"/>
      <c r="AJ375" s="130"/>
      <c r="AK375" s="130"/>
      <c r="AL375" s="130"/>
      <c r="AM375" s="130"/>
      <c r="AN375" s="130"/>
      <c r="AO375" s="130"/>
      <c r="AP375" s="130"/>
      <c r="AQ375" s="130"/>
      <c r="AR375" s="130"/>
      <c r="AS375" s="130"/>
      <c r="BC375" s="250"/>
      <c r="BE375" s="119"/>
    </row>
    <row r="376" spans="34:57" ht="14.15" customHeight="1" x14ac:dyDescent="0.35">
      <c r="AH376" s="114"/>
      <c r="AI376" s="114"/>
      <c r="AJ376" s="130"/>
      <c r="AK376" s="130"/>
      <c r="AL376" s="130"/>
      <c r="AM376" s="130"/>
      <c r="AN376" s="130"/>
      <c r="AO376" s="130"/>
      <c r="AP376" s="130"/>
      <c r="AQ376" s="130"/>
      <c r="AR376" s="130"/>
      <c r="AS376" s="130"/>
      <c r="BC376" s="250"/>
      <c r="BE376" s="119"/>
    </row>
    <row r="377" spans="34:57" ht="14.15" customHeight="1" x14ac:dyDescent="0.35">
      <c r="AH377" s="114"/>
      <c r="AI377" s="114"/>
      <c r="AJ377" s="130"/>
      <c r="AK377" s="130"/>
      <c r="AL377" s="130"/>
      <c r="AM377" s="130"/>
      <c r="AN377" s="130"/>
      <c r="AO377" s="130"/>
      <c r="AP377" s="130"/>
      <c r="AQ377" s="130"/>
      <c r="AR377" s="130"/>
      <c r="AS377" s="130"/>
      <c r="BC377" s="250"/>
      <c r="BE377" s="119"/>
    </row>
    <row r="378" spans="34:57" ht="14.15" customHeight="1" x14ac:dyDescent="0.35">
      <c r="AH378" s="114"/>
      <c r="AI378" s="114"/>
      <c r="AJ378" s="130"/>
      <c r="AK378" s="130"/>
      <c r="AL378" s="130"/>
      <c r="AM378" s="130"/>
      <c r="AN378" s="130"/>
      <c r="AO378" s="130"/>
      <c r="AP378" s="130"/>
      <c r="AQ378" s="130"/>
      <c r="AR378" s="130"/>
      <c r="AS378" s="130"/>
      <c r="BC378" s="250"/>
      <c r="BE378" s="119"/>
    </row>
    <row r="379" spans="34:57" ht="14.15" customHeight="1" x14ac:dyDescent="0.35">
      <c r="AH379" s="114"/>
      <c r="AI379" s="114"/>
      <c r="AJ379" s="130"/>
      <c r="AK379" s="130"/>
      <c r="AL379" s="130"/>
      <c r="AM379" s="130"/>
      <c r="AN379" s="130"/>
      <c r="AO379" s="130"/>
      <c r="AP379" s="130"/>
      <c r="AQ379" s="130"/>
      <c r="AR379" s="130"/>
      <c r="AS379" s="130"/>
      <c r="BC379" s="250"/>
      <c r="BE379" s="119"/>
    </row>
    <row r="380" spans="34:57" ht="14.15" customHeight="1" x14ac:dyDescent="0.35">
      <c r="AH380" s="114"/>
      <c r="AI380" s="114"/>
      <c r="AJ380" s="130"/>
      <c r="AK380" s="130"/>
      <c r="AL380" s="130"/>
      <c r="AM380" s="130"/>
      <c r="AN380" s="130"/>
      <c r="AO380" s="130"/>
      <c r="AP380" s="130"/>
      <c r="AQ380" s="130"/>
      <c r="AR380" s="130"/>
      <c r="AS380" s="130"/>
      <c r="BC380" s="250"/>
      <c r="BE380" s="119"/>
    </row>
    <row r="381" spans="34:57" ht="14.15" customHeight="1" x14ac:dyDescent="0.35">
      <c r="AH381" s="114"/>
      <c r="AI381" s="114"/>
      <c r="AJ381" s="130"/>
      <c r="AK381" s="130"/>
      <c r="AL381" s="130"/>
      <c r="AM381" s="130"/>
      <c r="AN381" s="130"/>
      <c r="AO381" s="130"/>
      <c r="AP381" s="130"/>
      <c r="AQ381" s="130"/>
      <c r="AR381" s="130"/>
      <c r="AS381" s="130"/>
      <c r="BC381" s="250"/>
      <c r="BE381" s="119"/>
    </row>
    <row r="382" spans="34:57" ht="14.15" customHeight="1" x14ac:dyDescent="0.35">
      <c r="AH382" s="114"/>
      <c r="AI382" s="114"/>
      <c r="AJ382" s="130"/>
      <c r="AK382" s="130"/>
      <c r="AL382" s="130"/>
      <c r="AM382" s="130"/>
      <c r="AN382" s="130"/>
      <c r="AO382" s="130"/>
      <c r="AP382" s="130"/>
      <c r="AQ382" s="130"/>
      <c r="AR382" s="130"/>
      <c r="AS382" s="130"/>
      <c r="BC382" s="250"/>
      <c r="BE382" s="119"/>
    </row>
    <row r="383" spans="34:57" ht="14.15" customHeight="1" x14ac:dyDescent="0.35">
      <c r="AH383" s="114"/>
      <c r="AI383" s="114"/>
      <c r="AJ383" s="130"/>
      <c r="AK383" s="130"/>
      <c r="AL383" s="130"/>
      <c r="AM383" s="130"/>
      <c r="AN383" s="130"/>
      <c r="AO383" s="130"/>
      <c r="AP383" s="130"/>
      <c r="AQ383" s="130"/>
      <c r="AR383" s="130"/>
      <c r="AS383" s="130"/>
      <c r="BC383" s="250"/>
      <c r="BE383" s="119"/>
    </row>
    <row r="384" spans="34:57" ht="14.15" customHeight="1" x14ac:dyDescent="0.35">
      <c r="AH384" s="114"/>
      <c r="AI384" s="114"/>
      <c r="AJ384" s="130"/>
      <c r="AK384" s="130"/>
      <c r="AL384" s="130"/>
      <c r="AM384" s="130"/>
      <c r="AN384" s="130"/>
      <c r="AO384" s="130"/>
      <c r="AP384" s="130"/>
      <c r="AQ384" s="130"/>
      <c r="AR384" s="130"/>
      <c r="AS384" s="130"/>
      <c r="BC384" s="250"/>
      <c r="BE384" s="119"/>
    </row>
    <row r="385" spans="34:57" ht="14.15" customHeight="1" x14ac:dyDescent="0.35">
      <c r="AH385" s="114"/>
      <c r="AI385" s="114"/>
      <c r="AJ385" s="130"/>
      <c r="AK385" s="130"/>
      <c r="AL385" s="130"/>
      <c r="AM385" s="130"/>
      <c r="AN385" s="130"/>
      <c r="AO385" s="130"/>
      <c r="AP385" s="130"/>
      <c r="AQ385" s="130"/>
      <c r="AR385" s="130"/>
      <c r="AS385" s="130"/>
      <c r="BC385" s="250"/>
      <c r="BE385" s="119"/>
    </row>
    <row r="386" spans="34:57" ht="14.15" customHeight="1" x14ac:dyDescent="0.35">
      <c r="AH386" s="114"/>
      <c r="AI386" s="114"/>
      <c r="AJ386" s="130"/>
      <c r="AK386" s="130"/>
      <c r="AL386" s="130"/>
      <c r="AM386" s="130"/>
      <c r="AN386" s="130"/>
      <c r="AO386" s="130"/>
      <c r="AP386" s="130"/>
      <c r="AQ386" s="130"/>
      <c r="AR386" s="130"/>
      <c r="AS386" s="130"/>
      <c r="BC386" s="250"/>
      <c r="BE386" s="119"/>
    </row>
    <row r="387" spans="34:57" ht="14.15" customHeight="1" x14ac:dyDescent="0.35">
      <c r="AH387" s="114"/>
      <c r="AI387" s="114"/>
      <c r="AJ387" s="130"/>
      <c r="AK387" s="130"/>
      <c r="AL387" s="130"/>
      <c r="AM387" s="130"/>
      <c r="AN387" s="130"/>
      <c r="AO387" s="130"/>
      <c r="AP387" s="130"/>
      <c r="AQ387" s="130"/>
      <c r="AR387" s="130"/>
      <c r="AS387" s="130"/>
      <c r="BC387" s="250"/>
      <c r="BE387" s="119"/>
    </row>
    <row r="388" spans="34:57" ht="14.15" customHeight="1" x14ac:dyDescent="0.35">
      <c r="AH388" s="114"/>
      <c r="AI388" s="114"/>
      <c r="AJ388" s="130"/>
      <c r="AK388" s="130"/>
      <c r="AL388" s="130"/>
      <c r="AM388" s="130"/>
      <c r="AN388" s="130"/>
      <c r="AO388" s="130"/>
      <c r="AP388" s="130"/>
      <c r="AQ388" s="130"/>
      <c r="AR388" s="130"/>
      <c r="AS388" s="130"/>
      <c r="BC388" s="250"/>
      <c r="BE388" s="119"/>
    </row>
    <row r="389" spans="34:57" ht="14.15" customHeight="1" x14ac:dyDescent="0.35">
      <c r="AH389" s="114"/>
      <c r="AI389" s="114"/>
      <c r="AJ389" s="130"/>
      <c r="AK389" s="130"/>
      <c r="AL389" s="130"/>
      <c r="AM389" s="130"/>
      <c r="AN389" s="130"/>
      <c r="AO389" s="130"/>
      <c r="AP389" s="130"/>
      <c r="AQ389" s="130"/>
      <c r="AR389" s="130"/>
      <c r="AS389" s="130"/>
      <c r="BC389" s="250"/>
      <c r="BE389" s="119"/>
    </row>
    <row r="390" spans="34:57" ht="14.15" customHeight="1" x14ac:dyDescent="0.35">
      <c r="AH390" s="114"/>
      <c r="AI390" s="114"/>
      <c r="AJ390" s="130"/>
      <c r="AK390" s="130"/>
      <c r="AL390" s="130"/>
      <c r="AM390" s="130"/>
      <c r="AN390" s="130"/>
      <c r="AO390" s="130"/>
      <c r="AP390" s="130"/>
      <c r="AQ390" s="130"/>
      <c r="AR390" s="130"/>
      <c r="AS390" s="130"/>
      <c r="BC390" s="250"/>
      <c r="BE390" s="119"/>
    </row>
    <row r="391" spans="34:57" ht="14.15" customHeight="1" x14ac:dyDescent="0.35">
      <c r="AH391" s="114"/>
      <c r="AI391" s="114"/>
      <c r="AJ391" s="130"/>
      <c r="AK391" s="130"/>
      <c r="AL391" s="130"/>
      <c r="AM391" s="130"/>
      <c r="AN391" s="130"/>
      <c r="AO391" s="130"/>
      <c r="AP391" s="130"/>
      <c r="AQ391" s="130"/>
      <c r="AR391" s="130"/>
      <c r="AS391" s="130"/>
      <c r="BC391" s="250"/>
      <c r="BE391" s="119"/>
    </row>
    <row r="392" spans="34:57" ht="14.15" customHeight="1" x14ac:dyDescent="0.35">
      <c r="AH392" s="114"/>
      <c r="AI392" s="114"/>
      <c r="AJ392" s="130"/>
      <c r="AK392" s="130"/>
      <c r="AL392" s="130"/>
      <c r="AM392" s="130"/>
      <c r="AN392" s="130"/>
      <c r="AO392" s="130"/>
      <c r="AP392" s="130"/>
      <c r="AQ392" s="130"/>
      <c r="AR392" s="130"/>
      <c r="AS392" s="130"/>
      <c r="BC392" s="250"/>
      <c r="BE392" s="119"/>
    </row>
    <row r="393" spans="34:57" ht="14.15" customHeight="1" x14ac:dyDescent="0.35">
      <c r="AH393" s="114"/>
      <c r="AI393" s="114"/>
      <c r="AJ393" s="130"/>
      <c r="AK393" s="130"/>
      <c r="AL393" s="130"/>
      <c r="AM393" s="130"/>
      <c r="AN393" s="130"/>
      <c r="AO393" s="130"/>
      <c r="AP393" s="130"/>
      <c r="AQ393" s="130"/>
      <c r="AR393" s="130"/>
      <c r="AS393" s="130"/>
      <c r="BC393" s="250"/>
      <c r="BE393" s="119"/>
    </row>
    <row r="394" spans="34:57" ht="14.15" customHeight="1" x14ac:dyDescent="0.35">
      <c r="AH394" s="114"/>
      <c r="AI394" s="114"/>
      <c r="AJ394" s="130"/>
      <c r="AK394" s="130"/>
      <c r="AL394" s="130"/>
      <c r="AM394" s="130"/>
      <c r="AN394" s="130"/>
      <c r="AO394" s="130"/>
      <c r="AP394" s="130"/>
      <c r="AQ394" s="130"/>
      <c r="AR394" s="130"/>
      <c r="AS394" s="130"/>
      <c r="BC394" s="250"/>
      <c r="BE394" s="119"/>
    </row>
    <row r="395" spans="34:57" ht="14.15" customHeight="1" x14ac:dyDescent="0.35">
      <c r="AH395" s="114"/>
      <c r="AI395" s="114"/>
      <c r="AJ395" s="130"/>
      <c r="AK395" s="130"/>
      <c r="AL395" s="130"/>
      <c r="AM395" s="130"/>
      <c r="AN395" s="130"/>
      <c r="AO395" s="130"/>
      <c r="AP395" s="130"/>
      <c r="AQ395" s="130"/>
      <c r="AR395" s="130"/>
      <c r="AS395" s="130"/>
      <c r="BC395" s="250"/>
      <c r="BE395" s="119"/>
    </row>
    <row r="396" spans="34:57" ht="14.15" customHeight="1" x14ac:dyDescent="0.35">
      <c r="AH396" s="114"/>
      <c r="AI396" s="114"/>
      <c r="AJ396" s="130"/>
      <c r="AK396" s="130"/>
      <c r="AL396" s="130"/>
      <c r="AM396" s="130"/>
      <c r="AN396" s="130"/>
      <c r="AO396" s="130"/>
      <c r="AP396" s="130"/>
      <c r="AQ396" s="130"/>
      <c r="AR396" s="130"/>
      <c r="AS396" s="130"/>
      <c r="BC396" s="250"/>
      <c r="BE396" s="119"/>
    </row>
    <row r="397" spans="34:57" ht="14.15" customHeight="1" x14ac:dyDescent="0.35">
      <c r="AH397" s="114"/>
      <c r="AI397" s="114"/>
      <c r="AJ397" s="130"/>
      <c r="AK397" s="130"/>
      <c r="AL397" s="130"/>
      <c r="AM397" s="130"/>
      <c r="AN397" s="130"/>
      <c r="AO397" s="130"/>
      <c r="AP397" s="130"/>
      <c r="AQ397" s="130"/>
      <c r="AR397" s="130"/>
      <c r="AS397" s="130"/>
      <c r="BC397" s="250"/>
      <c r="BE397" s="119"/>
    </row>
    <row r="398" spans="34:57" ht="14.15" customHeight="1" x14ac:dyDescent="0.35">
      <c r="AH398" s="114"/>
      <c r="AI398" s="114"/>
      <c r="AJ398" s="130"/>
      <c r="AK398" s="130"/>
      <c r="AL398" s="130"/>
      <c r="AM398" s="130"/>
      <c r="AN398" s="130"/>
      <c r="AO398" s="130"/>
      <c r="AP398" s="130"/>
      <c r="AQ398" s="130"/>
      <c r="AR398" s="130"/>
      <c r="AS398" s="130"/>
      <c r="BC398" s="250"/>
      <c r="BE398" s="119"/>
    </row>
    <row r="399" spans="34:57" ht="14.15" customHeight="1" x14ac:dyDescent="0.35">
      <c r="AH399" s="114"/>
      <c r="AI399" s="114"/>
      <c r="AJ399" s="130"/>
      <c r="AK399" s="130"/>
      <c r="AL399" s="130"/>
      <c r="AM399" s="130"/>
      <c r="AN399" s="130"/>
      <c r="AO399" s="130"/>
      <c r="AP399" s="130"/>
      <c r="AQ399" s="130"/>
      <c r="AR399" s="130"/>
      <c r="AS399" s="130"/>
      <c r="BC399" s="250"/>
      <c r="BE399" s="119"/>
    </row>
    <row r="400" spans="34:57" ht="14.15" customHeight="1" x14ac:dyDescent="0.35">
      <c r="AH400" s="114"/>
      <c r="AI400" s="114"/>
      <c r="AJ400" s="130"/>
      <c r="AK400" s="130"/>
      <c r="AL400" s="130"/>
      <c r="AM400" s="130"/>
      <c r="AN400" s="130"/>
      <c r="AO400" s="130"/>
      <c r="AP400" s="130"/>
      <c r="AQ400" s="130"/>
      <c r="AR400" s="130"/>
      <c r="AS400" s="130"/>
      <c r="BC400" s="250"/>
      <c r="BE400" s="119"/>
    </row>
    <row r="401" spans="34:57" ht="14.15" customHeight="1" x14ac:dyDescent="0.35">
      <c r="AH401" s="114"/>
      <c r="AI401" s="114"/>
      <c r="AJ401" s="130"/>
      <c r="AK401" s="130"/>
      <c r="AL401" s="130"/>
      <c r="AM401" s="130"/>
      <c r="AN401" s="130"/>
      <c r="AO401" s="130"/>
      <c r="AP401" s="130"/>
      <c r="AQ401" s="130"/>
      <c r="AR401" s="130"/>
      <c r="AS401" s="130"/>
      <c r="BC401" s="250"/>
      <c r="BE401" s="119"/>
    </row>
    <row r="402" spans="34:57" ht="14.15" customHeight="1" x14ac:dyDescent="0.35">
      <c r="AH402" s="114"/>
      <c r="AI402" s="114"/>
      <c r="AJ402" s="130"/>
      <c r="AK402" s="130"/>
      <c r="AL402" s="130"/>
      <c r="AM402" s="130"/>
      <c r="AN402" s="130"/>
      <c r="AO402" s="130"/>
      <c r="AP402" s="130"/>
      <c r="AQ402" s="130"/>
      <c r="AR402" s="130"/>
      <c r="AS402" s="130"/>
      <c r="BC402" s="250"/>
      <c r="BE402" s="119"/>
    </row>
    <row r="403" spans="34:57" ht="14.15" customHeight="1" x14ac:dyDescent="0.35">
      <c r="AH403" s="114"/>
      <c r="AI403" s="114"/>
      <c r="AJ403" s="130"/>
      <c r="AK403" s="130"/>
      <c r="AL403" s="130"/>
      <c r="AM403" s="130"/>
      <c r="AN403" s="130"/>
      <c r="AO403" s="130"/>
      <c r="AP403" s="130"/>
      <c r="AQ403" s="130"/>
      <c r="AR403" s="130"/>
      <c r="AS403" s="130"/>
      <c r="BC403" s="250"/>
      <c r="BE403" s="119"/>
    </row>
    <row r="404" spans="34:57" ht="14.15" customHeight="1" x14ac:dyDescent="0.35">
      <c r="AH404" s="114"/>
      <c r="AI404" s="114"/>
      <c r="AJ404" s="130"/>
      <c r="AK404" s="130"/>
      <c r="AL404" s="130"/>
      <c r="AM404" s="130"/>
      <c r="AN404" s="130"/>
      <c r="AO404" s="130"/>
      <c r="AP404" s="130"/>
      <c r="AQ404" s="130"/>
      <c r="AR404" s="130"/>
      <c r="AS404" s="130"/>
      <c r="BC404" s="250"/>
      <c r="BE404" s="119"/>
    </row>
    <row r="405" spans="34:57" ht="14.15" customHeight="1" x14ac:dyDescent="0.35">
      <c r="AH405" s="114"/>
      <c r="AI405" s="114"/>
      <c r="AJ405" s="130"/>
      <c r="AK405" s="130"/>
      <c r="AL405" s="130"/>
      <c r="AM405" s="130"/>
      <c r="AN405" s="130"/>
      <c r="AO405" s="130"/>
      <c r="AP405" s="130"/>
      <c r="AQ405" s="130"/>
      <c r="AR405" s="130"/>
      <c r="AS405" s="130"/>
      <c r="BC405" s="250"/>
      <c r="BE405" s="119"/>
    </row>
    <row r="406" spans="34:57" ht="14.15" customHeight="1" x14ac:dyDescent="0.35">
      <c r="AH406" s="114"/>
      <c r="AI406" s="114"/>
      <c r="AJ406" s="130"/>
      <c r="AK406" s="130"/>
      <c r="AL406" s="130"/>
      <c r="AM406" s="130"/>
      <c r="AN406" s="130"/>
      <c r="AO406" s="130"/>
      <c r="AP406" s="130"/>
      <c r="AQ406" s="130"/>
      <c r="AR406" s="130"/>
      <c r="AS406" s="130"/>
      <c r="BC406" s="250"/>
      <c r="BE406" s="119"/>
    </row>
    <row r="407" spans="34:57" ht="14.15" customHeight="1" x14ac:dyDescent="0.35">
      <c r="AH407" s="114"/>
      <c r="AI407" s="114"/>
      <c r="AJ407" s="130"/>
      <c r="AK407" s="130"/>
      <c r="AL407" s="130"/>
      <c r="AM407" s="130"/>
      <c r="AN407" s="130"/>
      <c r="AO407" s="130"/>
      <c r="AP407" s="130"/>
      <c r="AQ407" s="130"/>
      <c r="AR407" s="130"/>
      <c r="AS407" s="130"/>
      <c r="BC407" s="250"/>
      <c r="BE407" s="119"/>
    </row>
    <row r="408" spans="34:57" ht="14.15" customHeight="1" x14ac:dyDescent="0.35">
      <c r="AH408" s="114"/>
      <c r="AI408" s="114"/>
      <c r="AJ408" s="130"/>
      <c r="AK408" s="130"/>
      <c r="AL408" s="130"/>
      <c r="AM408" s="130"/>
      <c r="AN408" s="130"/>
      <c r="AO408" s="130"/>
      <c r="AP408" s="130"/>
      <c r="AQ408" s="130"/>
      <c r="AR408" s="130"/>
      <c r="AS408" s="130"/>
      <c r="BC408" s="250"/>
      <c r="BE408" s="119"/>
    </row>
    <row r="409" spans="34:57" ht="14.15" customHeight="1" x14ac:dyDescent="0.35">
      <c r="AH409" s="114"/>
      <c r="AI409" s="114"/>
      <c r="AJ409" s="130"/>
      <c r="AK409" s="130"/>
      <c r="AL409" s="130"/>
      <c r="AM409" s="130"/>
      <c r="AN409" s="130"/>
      <c r="AO409" s="130"/>
      <c r="AP409" s="130"/>
      <c r="AQ409" s="130"/>
      <c r="AR409" s="130"/>
      <c r="AS409" s="130"/>
      <c r="BC409" s="250"/>
      <c r="BE409" s="119"/>
    </row>
    <row r="410" spans="34:57" ht="14.15" customHeight="1" x14ac:dyDescent="0.35">
      <c r="AH410" s="114"/>
      <c r="AI410" s="114"/>
      <c r="AJ410" s="130"/>
      <c r="AK410" s="130"/>
      <c r="AL410" s="130"/>
      <c r="AM410" s="130"/>
      <c r="AN410" s="130"/>
      <c r="AO410" s="130"/>
      <c r="AP410" s="130"/>
      <c r="AQ410" s="130"/>
      <c r="AR410" s="130"/>
      <c r="AS410" s="130"/>
      <c r="BC410" s="250"/>
      <c r="BE410" s="119"/>
    </row>
    <row r="411" spans="34:57" ht="14.15" customHeight="1" x14ac:dyDescent="0.35">
      <c r="AH411" s="114"/>
      <c r="AI411" s="114"/>
      <c r="AJ411" s="130"/>
      <c r="AK411" s="130"/>
      <c r="AL411" s="130"/>
      <c r="AM411" s="130"/>
      <c r="AN411" s="130"/>
      <c r="AO411" s="130"/>
      <c r="AP411" s="130"/>
      <c r="AQ411" s="130"/>
      <c r="AR411" s="130"/>
      <c r="AS411" s="130"/>
      <c r="BC411" s="250"/>
      <c r="BE411" s="119"/>
    </row>
    <row r="412" spans="34:57" ht="14.15" customHeight="1" x14ac:dyDescent="0.35">
      <c r="AH412" s="114"/>
      <c r="AI412" s="114"/>
      <c r="AJ412" s="130"/>
      <c r="AK412" s="130"/>
      <c r="AL412" s="130"/>
      <c r="AM412" s="130"/>
      <c r="AN412" s="130"/>
      <c r="AO412" s="130"/>
      <c r="AP412" s="130"/>
      <c r="AQ412" s="130"/>
      <c r="AR412" s="130"/>
      <c r="AS412" s="130"/>
      <c r="BC412" s="250"/>
      <c r="BE412" s="119"/>
    </row>
    <row r="413" spans="34:57" ht="14.15" customHeight="1" x14ac:dyDescent="0.35">
      <c r="AH413" s="114"/>
      <c r="AI413" s="114"/>
      <c r="AJ413" s="130"/>
      <c r="AK413" s="130"/>
      <c r="AL413" s="130"/>
      <c r="AM413" s="130"/>
      <c r="AN413" s="130"/>
      <c r="AO413" s="130"/>
      <c r="AP413" s="130"/>
      <c r="AQ413" s="130"/>
      <c r="AR413" s="130"/>
      <c r="AS413" s="130"/>
      <c r="BC413" s="250"/>
      <c r="BE413" s="119"/>
    </row>
    <row r="414" spans="34:57" ht="14.15" customHeight="1" x14ac:dyDescent="0.35">
      <c r="AH414" s="114"/>
      <c r="AI414" s="114"/>
      <c r="AJ414" s="130"/>
      <c r="AK414" s="130"/>
      <c r="AL414" s="130"/>
      <c r="AM414" s="130"/>
      <c r="AN414" s="130"/>
      <c r="AO414" s="130"/>
      <c r="AP414" s="130"/>
      <c r="AQ414" s="130"/>
      <c r="AR414" s="130"/>
      <c r="AS414" s="130"/>
      <c r="BC414" s="250"/>
      <c r="BE414" s="119"/>
    </row>
    <row r="415" spans="34:57" ht="14.15" customHeight="1" x14ac:dyDescent="0.35">
      <c r="AH415" s="114"/>
      <c r="AI415" s="114"/>
      <c r="AJ415" s="130"/>
      <c r="AK415" s="130"/>
      <c r="AL415" s="130"/>
      <c r="AM415" s="130"/>
      <c r="AN415" s="130"/>
      <c r="AO415" s="130"/>
      <c r="AP415" s="130"/>
      <c r="AQ415" s="130"/>
      <c r="AR415" s="130"/>
      <c r="AS415" s="130"/>
      <c r="BC415" s="250"/>
      <c r="BE415" s="119"/>
    </row>
    <row r="416" spans="34:57" ht="14.15" customHeight="1" x14ac:dyDescent="0.35">
      <c r="AH416" s="114"/>
      <c r="AI416" s="114"/>
      <c r="AJ416" s="130"/>
      <c r="AK416" s="130"/>
      <c r="AL416" s="130"/>
      <c r="AM416" s="130"/>
      <c r="AN416" s="130"/>
      <c r="AO416" s="130"/>
      <c r="AP416" s="130"/>
      <c r="AQ416" s="130"/>
      <c r="AR416" s="130"/>
      <c r="AS416" s="130"/>
      <c r="BC416" s="250"/>
      <c r="BE416" s="119"/>
    </row>
    <row r="417" spans="34:57" ht="14.15" customHeight="1" x14ac:dyDescent="0.35">
      <c r="AH417" s="114"/>
      <c r="AI417" s="114"/>
      <c r="AJ417" s="130"/>
      <c r="AK417" s="130"/>
      <c r="AL417" s="130"/>
      <c r="AM417" s="130"/>
      <c r="AN417" s="130"/>
      <c r="AO417" s="130"/>
      <c r="AP417" s="130"/>
      <c r="AQ417" s="130"/>
      <c r="AR417" s="130"/>
      <c r="AS417" s="130"/>
      <c r="BC417" s="250"/>
      <c r="BE417" s="119"/>
    </row>
    <row r="418" spans="34:57" ht="14.15" customHeight="1" x14ac:dyDescent="0.35">
      <c r="AH418" s="114"/>
      <c r="AI418" s="114"/>
      <c r="AJ418" s="130"/>
      <c r="AK418" s="130"/>
      <c r="AL418" s="130"/>
      <c r="AM418" s="130"/>
      <c r="AN418" s="130"/>
      <c r="AO418" s="130"/>
      <c r="AP418" s="130"/>
      <c r="AQ418" s="130"/>
      <c r="AR418" s="130"/>
      <c r="AS418" s="130"/>
      <c r="BC418" s="250"/>
      <c r="BE418" s="119"/>
    </row>
    <row r="419" spans="34:57" ht="14.15" customHeight="1" x14ac:dyDescent="0.35">
      <c r="AH419" s="114"/>
      <c r="AI419" s="114"/>
      <c r="AJ419" s="130"/>
      <c r="AK419" s="130"/>
      <c r="AL419" s="130"/>
      <c r="AM419" s="130"/>
      <c r="AN419" s="130"/>
      <c r="AO419" s="130"/>
      <c r="AP419" s="130"/>
      <c r="AQ419" s="130"/>
      <c r="AR419" s="130"/>
      <c r="AS419" s="130"/>
      <c r="BC419" s="250"/>
      <c r="BE419" s="119"/>
    </row>
    <row r="420" spans="34:57" ht="14.15" customHeight="1" x14ac:dyDescent="0.35">
      <c r="AH420" s="114"/>
      <c r="AI420" s="114"/>
      <c r="AJ420" s="130"/>
      <c r="AK420" s="130"/>
      <c r="AL420" s="130"/>
      <c r="AM420" s="130"/>
      <c r="AN420" s="130"/>
      <c r="AO420" s="130"/>
      <c r="AP420" s="130"/>
      <c r="AQ420" s="130"/>
      <c r="AR420" s="130"/>
      <c r="AS420" s="130"/>
      <c r="BC420" s="250"/>
      <c r="BE420" s="119"/>
    </row>
    <row r="421" spans="34:57" ht="14.15" customHeight="1" x14ac:dyDescent="0.35">
      <c r="AH421" s="114"/>
      <c r="AI421" s="114"/>
      <c r="AJ421" s="130"/>
      <c r="AK421" s="130"/>
      <c r="AL421" s="130"/>
      <c r="AM421" s="130"/>
      <c r="AN421" s="130"/>
      <c r="AO421" s="130"/>
      <c r="AP421" s="130"/>
      <c r="AQ421" s="130"/>
      <c r="AR421" s="130"/>
      <c r="AS421" s="130"/>
      <c r="BC421" s="250"/>
      <c r="BE421" s="119"/>
    </row>
    <row r="422" spans="34:57" ht="14.15" customHeight="1" x14ac:dyDescent="0.35">
      <c r="AH422" s="114"/>
      <c r="AI422" s="114"/>
      <c r="AJ422" s="130"/>
      <c r="AK422" s="130"/>
      <c r="AL422" s="130"/>
      <c r="AM422" s="130"/>
      <c r="AN422" s="130"/>
      <c r="AO422" s="130"/>
      <c r="AP422" s="130"/>
      <c r="AQ422" s="130"/>
      <c r="AR422" s="130"/>
      <c r="AS422" s="130"/>
      <c r="BC422" s="250"/>
      <c r="BE422" s="119"/>
    </row>
    <row r="423" spans="34:57" ht="14.15" customHeight="1" x14ac:dyDescent="0.35">
      <c r="AH423" s="114"/>
      <c r="AI423" s="114"/>
      <c r="AJ423" s="130"/>
      <c r="AK423" s="130"/>
      <c r="AL423" s="130"/>
      <c r="AM423" s="130"/>
      <c r="AN423" s="130"/>
      <c r="AO423" s="130"/>
      <c r="AP423" s="130"/>
      <c r="AQ423" s="130"/>
      <c r="AR423" s="130"/>
      <c r="AS423" s="130"/>
      <c r="BC423" s="250"/>
      <c r="BE423" s="119"/>
    </row>
    <row r="424" spans="34:57" ht="14.15" customHeight="1" x14ac:dyDescent="0.35">
      <c r="AH424" s="114"/>
      <c r="AI424" s="114"/>
      <c r="AJ424" s="130"/>
      <c r="AK424" s="130"/>
      <c r="AL424" s="130"/>
      <c r="AM424" s="130"/>
      <c r="AN424" s="130"/>
      <c r="AO424" s="130"/>
      <c r="AP424" s="130"/>
      <c r="AQ424" s="130"/>
      <c r="AR424" s="130"/>
      <c r="AS424" s="130"/>
      <c r="BC424" s="250"/>
      <c r="BE424" s="119"/>
    </row>
    <row r="425" spans="34:57" ht="14.15" customHeight="1" x14ac:dyDescent="0.35">
      <c r="AH425" s="114"/>
      <c r="AI425" s="114"/>
      <c r="AJ425" s="130"/>
      <c r="AK425" s="130"/>
      <c r="AL425" s="130"/>
      <c r="AM425" s="130"/>
      <c r="AN425" s="130"/>
      <c r="AO425" s="130"/>
      <c r="AP425" s="130"/>
      <c r="AQ425" s="130"/>
      <c r="AR425" s="130"/>
      <c r="AS425" s="130"/>
      <c r="BC425" s="250"/>
      <c r="BE425" s="119"/>
    </row>
    <row r="426" spans="34:57" ht="14.15" customHeight="1" x14ac:dyDescent="0.35">
      <c r="AH426" s="114"/>
      <c r="AI426" s="114"/>
      <c r="AJ426" s="130"/>
      <c r="AK426" s="130"/>
      <c r="AL426" s="130"/>
      <c r="AM426" s="130"/>
      <c r="AN426" s="130"/>
      <c r="AO426" s="130"/>
      <c r="AP426" s="130"/>
      <c r="AQ426" s="130"/>
      <c r="AR426" s="130"/>
      <c r="AS426" s="130"/>
      <c r="BC426" s="250"/>
      <c r="BE426" s="119"/>
    </row>
    <row r="427" spans="34:57" ht="14.15" customHeight="1" x14ac:dyDescent="0.35">
      <c r="AH427" s="114"/>
      <c r="AI427" s="114"/>
      <c r="AJ427" s="130"/>
      <c r="AK427" s="130"/>
      <c r="AL427" s="130"/>
      <c r="AM427" s="130"/>
      <c r="AN427" s="130"/>
      <c r="AO427" s="130"/>
      <c r="AP427" s="130"/>
      <c r="AQ427" s="130"/>
      <c r="AR427" s="130"/>
      <c r="AS427" s="130"/>
      <c r="BC427" s="250"/>
      <c r="BE427" s="119"/>
    </row>
    <row r="428" spans="34:57" ht="14.15" customHeight="1" x14ac:dyDescent="0.35">
      <c r="AH428" s="114"/>
      <c r="AI428" s="114"/>
      <c r="AJ428" s="130"/>
      <c r="AK428" s="130"/>
      <c r="AL428" s="130"/>
      <c r="AM428" s="130"/>
      <c r="AN428" s="130"/>
      <c r="AO428" s="130"/>
      <c r="AP428" s="130"/>
      <c r="AQ428" s="130"/>
      <c r="AR428" s="130"/>
      <c r="AS428" s="130"/>
      <c r="BC428" s="250"/>
      <c r="BE428" s="119"/>
    </row>
    <row r="429" spans="34:57" ht="14.15" customHeight="1" x14ac:dyDescent="0.35">
      <c r="AH429" s="114"/>
      <c r="AI429" s="114"/>
      <c r="AJ429" s="130"/>
      <c r="AK429" s="130"/>
      <c r="AL429" s="130"/>
      <c r="AM429" s="130"/>
      <c r="AN429" s="130"/>
      <c r="AO429" s="130"/>
      <c r="AP429" s="130"/>
      <c r="AQ429" s="130"/>
      <c r="AR429" s="130"/>
      <c r="AS429" s="130"/>
      <c r="BC429" s="250"/>
      <c r="BE429" s="119"/>
    </row>
    <row r="430" spans="34:57" ht="14.15" customHeight="1" x14ac:dyDescent="0.35">
      <c r="AH430" s="114"/>
      <c r="AI430" s="114"/>
      <c r="AJ430" s="130"/>
      <c r="AK430" s="130"/>
      <c r="AL430" s="130"/>
      <c r="AM430" s="130"/>
      <c r="AN430" s="130"/>
      <c r="AO430" s="130"/>
      <c r="AP430" s="130"/>
      <c r="AQ430" s="130"/>
      <c r="AR430" s="130"/>
      <c r="AS430" s="130"/>
      <c r="BC430" s="250"/>
      <c r="BE430" s="119"/>
    </row>
    <row r="431" spans="34:57" ht="14.15" customHeight="1" x14ac:dyDescent="0.35">
      <c r="AH431" s="114"/>
      <c r="AI431" s="114"/>
      <c r="AJ431" s="130"/>
      <c r="AK431" s="130"/>
      <c r="AL431" s="130"/>
      <c r="AM431" s="130"/>
      <c r="AN431" s="130"/>
      <c r="AO431" s="130"/>
      <c r="AP431" s="130"/>
      <c r="AQ431" s="130"/>
      <c r="AR431" s="130"/>
      <c r="AS431" s="130"/>
      <c r="BC431" s="250"/>
      <c r="BE431" s="119"/>
    </row>
    <row r="432" spans="34:57" ht="14.15" customHeight="1" x14ac:dyDescent="0.35">
      <c r="AH432" s="114"/>
      <c r="AI432" s="114"/>
      <c r="AJ432" s="130"/>
      <c r="AK432" s="130"/>
      <c r="AL432" s="130"/>
      <c r="AM432" s="130"/>
      <c r="AN432" s="130"/>
      <c r="AO432" s="130"/>
      <c r="AP432" s="130"/>
      <c r="AQ432" s="130"/>
      <c r="AR432" s="130"/>
      <c r="AS432" s="130"/>
      <c r="BC432" s="250"/>
      <c r="BE432" s="119"/>
    </row>
    <row r="433" spans="34:57" ht="14.15" customHeight="1" x14ac:dyDescent="0.35">
      <c r="AH433" s="114"/>
      <c r="AI433" s="114"/>
      <c r="AJ433" s="130"/>
      <c r="AK433" s="130"/>
      <c r="AL433" s="130"/>
      <c r="AM433" s="130"/>
      <c r="AN433" s="130"/>
      <c r="AO433" s="130"/>
      <c r="AP433" s="130"/>
      <c r="AQ433" s="130"/>
      <c r="AR433" s="130"/>
      <c r="AS433" s="130"/>
      <c r="BC433" s="250"/>
      <c r="BE433" s="119"/>
    </row>
    <row r="434" spans="34:57" ht="14.15" customHeight="1" x14ac:dyDescent="0.35">
      <c r="AH434" s="114"/>
      <c r="AI434" s="114"/>
      <c r="AJ434" s="130"/>
      <c r="AK434" s="130"/>
      <c r="AL434" s="130"/>
      <c r="AM434" s="130"/>
      <c r="AN434" s="130"/>
      <c r="AO434" s="130"/>
      <c r="AP434" s="130"/>
      <c r="AQ434" s="130"/>
      <c r="AR434" s="130"/>
      <c r="AS434" s="130"/>
      <c r="BC434" s="250"/>
      <c r="BE434" s="119"/>
    </row>
    <row r="435" spans="34:57" ht="14.15" customHeight="1" x14ac:dyDescent="0.35">
      <c r="AH435" s="114"/>
      <c r="AI435" s="114"/>
      <c r="AJ435" s="130"/>
      <c r="AK435" s="130"/>
      <c r="AL435" s="130"/>
      <c r="AM435" s="130"/>
      <c r="AN435" s="130"/>
      <c r="AO435" s="130"/>
      <c r="AP435" s="130"/>
      <c r="AQ435" s="130"/>
      <c r="AR435" s="130"/>
      <c r="AS435" s="130"/>
      <c r="BC435" s="250"/>
      <c r="BE435" s="119"/>
    </row>
    <row r="436" spans="34:57" ht="14.15" customHeight="1" x14ac:dyDescent="0.35">
      <c r="AH436" s="114"/>
      <c r="AI436" s="114"/>
      <c r="AJ436" s="130"/>
      <c r="AK436" s="130"/>
      <c r="AL436" s="130"/>
      <c r="AM436" s="130"/>
      <c r="AN436" s="130"/>
      <c r="AO436" s="130"/>
      <c r="AP436" s="130"/>
      <c r="AQ436" s="130"/>
      <c r="AR436" s="130"/>
      <c r="AS436" s="130"/>
      <c r="BC436" s="250"/>
      <c r="BE436" s="119"/>
    </row>
    <row r="437" spans="34:57" ht="14.15" customHeight="1" x14ac:dyDescent="0.35">
      <c r="AH437" s="114"/>
      <c r="AI437" s="114"/>
      <c r="AJ437" s="130"/>
      <c r="AK437" s="130"/>
      <c r="AL437" s="130"/>
      <c r="AM437" s="130"/>
      <c r="AN437" s="130"/>
      <c r="AO437" s="130"/>
      <c r="AP437" s="130"/>
      <c r="AQ437" s="130"/>
      <c r="AR437" s="130"/>
      <c r="AS437" s="130"/>
      <c r="BC437" s="250"/>
      <c r="BE437" s="119"/>
    </row>
    <row r="438" spans="34:57" ht="14.15" customHeight="1" x14ac:dyDescent="0.35">
      <c r="AH438" s="114"/>
      <c r="AI438" s="114"/>
      <c r="AJ438" s="130"/>
      <c r="AK438" s="130"/>
      <c r="AL438" s="130"/>
      <c r="AM438" s="130"/>
      <c r="AN438" s="130"/>
      <c r="AO438" s="130"/>
      <c r="AP438" s="130"/>
      <c r="AQ438" s="130"/>
      <c r="AR438" s="130"/>
      <c r="AS438" s="130"/>
      <c r="BC438" s="250"/>
      <c r="BE438" s="119"/>
    </row>
    <row r="439" spans="34:57" ht="14.15" customHeight="1" x14ac:dyDescent="0.35">
      <c r="AH439" s="114"/>
      <c r="AI439" s="114"/>
      <c r="AJ439" s="130"/>
      <c r="AK439" s="130"/>
      <c r="AL439" s="130"/>
      <c r="AM439" s="130"/>
      <c r="AN439" s="130"/>
      <c r="AO439" s="130"/>
      <c r="AP439" s="130"/>
      <c r="AQ439" s="130"/>
      <c r="AR439" s="130"/>
      <c r="AS439" s="130"/>
      <c r="BC439" s="250"/>
      <c r="BE439" s="119"/>
    </row>
    <row r="440" spans="34:57" ht="14.15" customHeight="1" x14ac:dyDescent="0.35">
      <c r="AH440" s="114"/>
      <c r="AI440" s="114"/>
      <c r="AJ440" s="130"/>
      <c r="AK440" s="130"/>
      <c r="AL440" s="130"/>
      <c r="AM440" s="130"/>
      <c r="AN440" s="130"/>
      <c r="AO440" s="130"/>
      <c r="AP440" s="130"/>
      <c r="AQ440" s="130"/>
      <c r="AR440" s="130"/>
      <c r="AS440" s="130"/>
      <c r="BC440" s="250"/>
      <c r="BE440" s="119"/>
    </row>
    <row r="441" spans="34:57" ht="14.15" customHeight="1" x14ac:dyDescent="0.35">
      <c r="AH441" s="114"/>
      <c r="AI441" s="114"/>
      <c r="AJ441" s="130"/>
      <c r="AK441" s="130"/>
      <c r="AL441" s="130"/>
      <c r="AM441" s="130"/>
      <c r="AN441" s="130"/>
      <c r="AO441" s="130"/>
      <c r="AP441" s="130"/>
      <c r="AQ441" s="130"/>
      <c r="AR441" s="130"/>
      <c r="AS441" s="130"/>
      <c r="BC441" s="250"/>
      <c r="BE441" s="119"/>
    </row>
    <row r="442" spans="34:57" ht="14.15" customHeight="1" x14ac:dyDescent="0.35">
      <c r="AH442" s="114"/>
      <c r="AI442" s="114"/>
      <c r="AJ442" s="130"/>
      <c r="AK442" s="130"/>
      <c r="AL442" s="130"/>
      <c r="AM442" s="130"/>
      <c r="AN442" s="130"/>
      <c r="AO442" s="130"/>
      <c r="AP442" s="130"/>
      <c r="AQ442" s="130"/>
      <c r="AR442" s="130"/>
      <c r="AS442" s="130"/>
      <c r="BC442" s="250"/>
      <c r="BE442" s="119"/>
    </row>
    <row r="443" spans="34:57" ht="14.15" customHeight="1" x14ac:dyDescent="0.35">
      <c r="AH443" s="114"/>
      <c r="AI443" s="114"/>
      <c r="AJ443" s="130"/>
      <c r="AK443" s="130"/>
      <c r="AL443" s="130"/>
      <c r="AM443" s="130"/>
      <c r="AN443" s="130"/>
      <c r="AO443" s="130"/>
      <c r="AP443" s="130"/>
      <c r="AQ443" s="130"/>
      <c r="AR443" s="130"/>
      <c r="AS443" s="130"/>
      <c r="BC443" s="250"/>
      <c r="BE443" s="119"/>
    </row>
    <row r="444" spans="34:57" ht="14.15" customHeight="1" x14ac:dyDescent="0.35">
      <c r="AH444" s="114"/>
      <c r="AI444" s="114"/>
      <c r="AJ444" s="130"/>
      <c r="AK444" s="130"/>
      <c r="AL444" s="130"/>
      <c r="AM444" s="130"/>
      <c r="AN444" s="130"/>
      <c r="AO444" s="130"/>
      <c r="AP444" s="130"/>
      <c r="AQ444" s="130"/>
      <c r="AR444" s="130"/>
      <c r="AS444" s="130"/>
      <c r="BC444" s="250"/>
      <c r="BE444" s="119"/>
    </row>
    <row r="445" spans="34:57" ht="14.15" customHeight="1" x14ac:dyDescent="0.35">
      <c r="AH445" s="114"/>
      <c r="AI445" s="114"/>
      <c r="AJ445" s="130"/>
      <c r="AK445" s="130"/>
      <c r="AL445" s="130"/>
      <c r="AM445" s="130"/>
      <c r="AN445" s="130"/>
      <c r="AO445" s="130"/>
      <c r="AP445" s="130"/>
      <c r="AQ445" s="130"/>
      <c r="AR445" s="130"/>
      <c r="AS445" s="130"/>
      <c r="BC445" s="250"/>
      <c r="BE445" s="119"/>
    </row>
    <row r="446" spans="34:57" ht="14.15" customHeight="1" x14ac:dyDescent="0.35">
      <c r="AH446" s="114"/>
      <c r="AI446" s="114"/>
      <c r="AJ446" s="130"/>
      <c r="AK446" s="130"/>
      <c r="AL446" s="130"/>
      <c r="AM446" s="130"/>
      <c r="AN446" s="130"/>
      <c r="AO446" s="130"/>
      <c r="AP446" s="130"/>
      <c r="AQ446" s="130"/>
      <c r="AR446" s="130"/>
      <c r="AS446" s="130"/>
      <c r="BC446" s="250"/>
      <c r="BE446" s="119"/>
    </row>
    <row r="447" spans="34:57" ht="14.15" customHeight="1" x14ac:dyDescent="0.35">
      <c r="AH447" s="114"/>
      <c r="AI447" s="114"/>
      <c r="AJ447" s="130"/>
      <c r="AK447" s="130"/>
      <c r="AL447" s="130"/>
      <c r="AM447" s="130"/>
      <c r="AN447" s="130"/>
      <c r="AO447" s="130"/>
      <c r="AP447" s="130"/>
      <c r="AQ447" s="130"/>
      <c r="AR447" s="130"/>
      <c r="AS447" s="130"/>
      <c r="BC447" s="250"/>
      <c r="BE447" s="119"/>
    </row>
    <row r="448" spans="34:57" ht="14.15" customHeight="1" x14ac:dyDescent="0.35">
      <c r="AH448" s="114"/>
      <c r="AI448" s="114"/>
      <c r="AJ448" s="130"/>
      <c r="AK448" s="130"/>
      <c r="AL448" s="130"/>
      <c r="AM448" s="130"/>
      <c r="AN448" s="130"/>
      <c r="AO448" s="130"/>
      <c r="AP448" s="130"/>
      <c r="AQ448" s="130"/>
      <c r="AR448" s="130"/>
      <c r="AS448" s="130"/>
      <c r="BC448" s="250"/>
      <c r="BE448" s="119"/>
    </row>
    <row r="449" spans="34:57" ht="14.15" customHeight="1" x14ac:dyDescent="0.35">
      <c r="AH449" s="114"/>
      <c r="AI449" s="114"/>
      <c r="AJ449" s="130"/>
      <c r="AK449" s="130"/>
      <c r="AL449" s="130"/>
      <c r="AM449" s="130"/>
      <c r="AN449" s="130"/>
      <c r="AO449" s="130"/>
      <c r="AP449" s="130"/>
      <c r="AQ449" s="130"/>
      <c r="AR449" s="130"/>
      <c r="AS449" s="130"/>
      <c r="BC449" s="250"/>
      <c r="BE449" s="119"/>
    </row>
    <row r="450" spans="34:57" ht="14.15" customHeight="1" x14ac:dyDescent="0.35">
      <c r="AH450" s="114"/>
      <c r="AI450" s="114"/>
      <c r="AJ450" s="130"/>
      <c r="AK450" s="130"/>
      <c r="AL450" s="130"/>
      <c r="AM450" s="130"/>
      <c r="AN450" s="130"/>
      <c r="AO450" s="130"/>
      <c r="AP450" s="130"/>
      <c r="AQ450" s="130"/>
      <c r="AR450" s="130"/>
      <c r="AS450" s="130"/>
      <c r="BC450" s="250"/>
      <c r="BE450" s="119"/>
    </row>
    <row r="451" spans="34:57" ht="14.15" customHeight="1" x14ac:dyDescent="0.35">
      <c r="AH451" s="114"/>
      <c r="AI451" s="114"/>
      <c r="AJ451" s="130"/>
      <c r="AK451" s="130"/>
      <c r="AL451" s="130"/>
      <c r="AM451" s="130"/>
      <c r="AN451" s="130"/>
      <c r="AO451" s="130"/>
      <c r="AP451" s="130"/>
      <c r="AQ451" s="130"/>
      <c r="AR451" s="130"/>
      <c r="AS451" s="130"/>
      <c r="BC451" s="250"/>
      <c r="BE451" s="119"/>
    </row>
    <row r="452" spans="34:57" ht="14.15" customHeight="1" x14ac:dyDescent="0.35">
      <c r="AH452" s="114"/>
      <c r="AI452" s="114"/>
      <c r="AJ452" s="130"/>
      <c r="AK452" s="130"/>
      <c r="AL452" s="130"/>
      <c r="AM452" s="130"/>
      <c r="AN452" s="130"/>
      <c r="AO452" s="130"/>
      <c r="AP452" s="130"/>
      <c r="AQ452" s="130"/>
      <c r="AR452" s="130"/>
      <c r="AS452" s="130"/>
      <c r="BC452" s="250"/>
      <c r="BE452" s="119"/>
    </row>
    <row r="453" spans="34:57" ht="14.15" customHeight="1" x14ac:dyDescent="0.35">
      <c r="AH453" s="114"/>
      <c r="AI453" s="114"/>
      <c r="AJ453" s="130"/>
      <c r="AK453" s="130"/>
      <c r="AL453" s="130"/>
      <c r="AM453" s="130"/>
      <c r="AN453" s="130"/>
      <c r="AO453" s="130"/>
      <c r="AP453" s="130"/>
      <c r="AQ453" s="130"/>
      <c r="AR453" s="130"/>
      <c r="AS453" s="130"/>
      <c r="BC453" s="250"/>
      <c r="BE453" s="119"/>
    </row>
    <row r="454" spans="34:57" ht="14.15" customHeight="1" x14ac:dyDescent="0.35">
      <c r="AH454" s="114"/>
      <c r="AI454" s="114"/>
      <c r="AJ454" s="130"/>
      <c r="AK454" s="130"/>
      <c r="AL454" s="130"/>
      <c r="AM454" s="130"/>
      <c r="AN454" s="130"/>
      <c r="AO454" s="130"/>
      <c r="AP454" s="130"/>
      <c r="AQ454" s="130"/>
      <c r="AR454" s="130"/>
      <c r="AS454" s="130"/>
      <c r="BC454" s="250"/>
      <c r="BE454" s="119"/>
    </row>
    <row r="455" spans="34:57" ht="14.15" customHeight="1" x14ac:dyDescent="0.35">
      <c r="AH455" s="114"/>
      <c r="AI455" s="114"/>
      <c r="AJ455" s="130"/>
      <c r="AK455" s="130"/>
      <c r="AL455" s="130"/>
      <c r="AM455" s="130"/>
      <c r="AN455" s="130"/>
      <c r="AO455" s="130"/>
      <c r="AP455" s="130"/>
      <c r="AQ455" s="130"/>
      <c r="AR455" s="130"/>
      <c r="AS455" s="130"/>
      <c r="BC455" s="250"/>
      <c r="BE455" s="119"/>
    </row>
    <row r="456" spans="34:57" ht="14.15" customHeight="1" x14ac:dyDescent="0.35">
      <c r="AH456" s="114"/>
      <c r="AI456" s="114"/>
      <c r="AJ456" s="130"/>
      <c r="AK456" s="130"/>
      <c r="AL456" s="130"/>
      <c r="AM456" s="130"/>
      <c r="AN456" s="130"/>
      <c r="AO456" s="130"/>
      <c r="AP456" s="130"/>
      <c r="AQ456" s="130"/>
      <c r="AR456" s="130"/>
      <c r="AS456" s="130"/>
      <c r="BC456" s="250"/>
      <c r="BE456" s="119"/>
    </row>
    <row r="457" spans="34:57" ht="14.15" customHeight="1" x14ac:dyDescent="0.35">
      <c r="AH457" s="114"/>
      <c r="AI457" s="114"/>
      <c r="AJ457" s="130"/>
      <c r="AK457" s="130"/>
      <c r="AL457" s="130"/>
      <c r="AM457" s="130"/>
      <c r="AN457" s="130"/>
      <c r="AO457" s="130"/>
      <c r="AP457" s="130"/>
      <c r="AQ457" s="130"/>
      <c r="AR457" s="130"/>
      <c r="AS457" s="130"/>
      <c r="BC457" s="250"/>
      <c r="BE457" s="119"/>
    </row>
    <row r="458" spans="34:57" ht="14.15" customHeight="1" x14ac:dyDescent="0.35">
      <c r="AH458" s="114"/>
      <c r="AI458" s="114"/>
      <c r="AJ458" s="130"/>
      <c r="AK458" s="130"/>
      <c r="AL458" s="130"/>
      <c r="AM458" s="130"/>
      <c r="AN458" s="130"/>
      <c r="AO458" s="130"/>
      <c r="AP458" s="130"/>
      <c r="AQ458" s="130"/>
      <c r="AR458" s="130"/>
      <c r="AS458" s="130"/>
      <c r="BC458" s="250"/>
      <c r="BE458" s="119"/>
    </row>
    <row r="459" spans="34:57" ht="14.15" customHeight="1" x14ac:dyDescent="0.35">
      <c r="AH459" s="114"/>
      <c r="AI459" s="114"/>
      <c r="AJ459" s="130"/>
      <c r="AK459" s="130"/>
      <c r="AL459" s="130"/>
      <c r="AM459" s="130"/>
      <c r="AN459" s="130"/>
      <c r="AO459" s="130"/>
      <c r="AP459" s="130"/>
      <c r="AQ459" s="130"/>
      <c r="AR459" s="130"/>
      <c r="AS459" s="130"/>
      <c r="BC459" s="250"/>
      <c r="BE459" s="119"/>
    </row>
    <row r="460" spans="34:57" ht="14.15" customHeight="1" x14ac:dyDescent="0.35">
      <c r="AH460" s="114"/>
      <c r="AI460" s="114"/>
      <c r="AJ460" s="130"/>
      <c r="AK460" s="130"/>
      <c r="AL460" s="130"/>
      <c r="AM460" s="130"/>
      <c r="AN460" s="130"/>
      <c r="AO460" s="130"/>
      <c r="AP460" s="130"/>
      <c r="AQ460" s="130"/>
      <c r="AR460" s="130"/>
      <c r="AS460" s="130"/>
      <c r="BC460" s="250"/>
      <c r="BE460" s="119"/>
    </row>
    <row r="461" spans="34:57" ht="14.15" customHeight="1" x14ac:dyDescent="0.35">
      <c r="AH461" s="114"/>
      <c r="AI461" s="114"/>
      <c r="AJ461" s="130"/>
      <c r="AK461" s="130"/>
      <c r="AL461" s="130"/>
      <c r="AM461" s="130"/>
      <c r="AN461" s="130"/>
      <c r="AO461" s="130"/>
      <c r="AP461" s="130"/>
      <c r="AQ461" s="130"/>
      <c r="AR461" s="130"/>
      <c r="AS461" s="130"/>
      <c r="BC461" s="250"/>
      <c r="BE461" s="119"/>
    </row>
    <row r="462" spans="34:57" ht="14.15" customHeight="1" x14ac:dyDescent="0.35">
      <c r="AH462" s="114"/>
      <c r="AI462" s="114"/>
      <c r="AJ462" s="130"/>
      <c r="AK462" s="130"/>
      <c r="AL462" s="130"/>
      <c r="AM462" s="130"/>
      <c r="AN462" s="130"/>
      <c r="AO462" s="130"/>
      <c r="AP462" s="130"/>
      <c r="AQ462" s="130"/>
      <c r="AR462" s="130"/>
      <c r="AS462" s="130"/>
      <c r="BC462" s="250"/>
      <c r="BE462" s="119"/>
    </row>
    <row r="463" spans="34:57" ht="14.15" customHeight="1" x14ac:dyDescent="0.35">
      <c r="AH463" s="114"/>
      <c r="AI463" s="114"/>
      <c r="AJ463" s="130"/>
      <c r="AK463" s="130"/>
      <c r="AL463" s="130"/>
      <c r="AM463" s="130"/>
      <c r="AN463" s="130"/>
      <c r="AO463" s="130"/>
      <c r="AP463" s="130"/>
      <c r="AQ463" s="130"/>
      <c r="AR463" s="130"/>
      <c r="AS463" s="130"/>
      <c r="BC463" s="250"/>
      <c r="BE463" s="119"/>
    </row>
    <row r="464" spans="34:57" ht="14.15" customHeight="1" x14ac:dyDescent="0.35">
      <c r="AH464" s="114"/>
      <c r="AI464" s="114"/>
      <c r="AJ464" s="130"/>
      <c r="AK464" s="130"/>
      <c r="AL464" s="130"/>
      <c r="AM464" s="130"/>
      <c r="AN464" s="130"/>
      <c r="AO464" s="130"/>
      <c r="AP464" s="130"/>
      <c r="AQ464" s="130"/>
      <c r="AR464" s="130"/>
      <c r="AS464" s="130"/>
      <c r="BC464" s="250"/>
      <c r="BE464" s="119"/>
    </row>
    <row r="465" spans="34:57" ht="14.15" customHeight="1" x14ac:dyDescent="0.35">
      <c r="AH465" s="114"/>
      <c r="AI465" s="114"/>
      <c r="AJ465" s="130"/>
      <c r="AK465" s="130"/>
      <c r="AL465" s="130"/>
      <c r="AM465" s="130"/>
      <c r="AN465" s="130"/>
      <c r="AO465" s="130"/>
      <c r="AP465" s="130"/>
      <c r="AQ465" s="130"/>
      <c r="AR465" s="130"/>
      <c r="AS465" s="130"/>
      <c r="BC465" s="250"/>
      <c r="BE465" s="119"/>
    </row>
    <row r="466" spans="34:57" ht="14.15" customHeight="1" x14ac:dyDescent="0.35">
      <c r="AH466" s="114"/>
      <c r="AI466" s="114"/>
      <c r="AJ466" s="130"/>
      <c r="AK466" s="130"/>
      <c r="AL466" s="130"/>
      <c r="AM466" s="130"/>
      <c r="AN466" s="130"/>
      <c r="AO466" s="130"/>
      <c r="AP466" s="130"/>
      <c r="AQ466" s="130"/>
      <c r="AR466" s="130"/>
      <c r="AS466" s="130"/>
      <c r="BC466" s="250"/>
      <c r="BE466" s="119"/>
    </row>
    <row r="467" spans="34:57" ht="14.15" customHeight="1" x14ac:dyDescent="0.35">
      <c r="AH467" s="114"/>
      <c r="AI467" s="114"/>
      <c r="AJ467" s="130"/>
      <c r="AK467" s="130"/>
      <c r="AL467" s="130"/>
      <c r="AM467" s="130"/>
      <c r="AN467" s="130"/>
      <c r="AO467" s="130"/>
      <c r="AP467" s="130"/>
      <c r="AQ467" s="130"/>
      <c r="AR467" s="130"/>
      <c r="AS467" s="130"/>
      <c r="BC467" s="250"/>
      <c r="BE467" s="119"/>
    </row>
    <row r="468" spans="34:57" ht="14.15" customHeight="1" x14ac:dyDescent="0.35">
      <c r="AH468" s="114"/>
      <c r="AI468" s="114"/>
      <c r="AJ468" s="130"/>
      <c r="AK468" s="130"/>
      <c r="AL468" s="130"/>
      <c r="AM468" s="130"/>
      <c r="AN468" s="130"/>
      <c r="AO468" s="130"/>
      <c r="AP468" s="130"/>
      <c r="AQ468" s="130"/>
      <c r="AR468" s="130"/>
      <c r="AS468" s="130"/>
      <c r="BC468" s="250"/>
      <c r="BE468" s="119"/>
    </row>
    <row r="469" spans="34:57" ht="14.15" customHeight="1" x14ac:dyDescent="0.35">
      <c r="AH469" s="114"/>
      <c r="AI469" s="114"/>
      <c r="AJ469" s="130"/>
      <c r="AK469" s="130"/>
      <c r="AL469" s="130"/>
      <c r="AM469" s="130"/>
      <c r="AN469" s="130"/>
      <c r="AO469" s="130"/>
      <c r="AP469" s="130"/>
      <c r="AQ469" s="130"/>
      <c r="AR469" s="130"/>
      <c r="AS469" s="130"/>
      <c r="BC469" s="250"/>
      <c r="BE469" s="119"/>
    </row>
    <row r="470" spans="34:57" ht="14.15" customHeight="1" x14ac:dyDescent="0.35">
      <c r="AH470" s="114"/>
      <c r="AI470" s="114"/>
      <c r="AJ470" s="130"/>
      <c r="AK470" s="130"/>
      <c r="AL470" s="130"/>
      <c r="AM470" s="130"/>
      <c r="AN470" s="130"/>
      <c r="AO470" s="130"/>
      <c r="AP470" s="130"/>
      <c r="AQ470" s="130"/>
      <c r="AR470" s="130"/>
      <c r="AS470" s="130"/>
      <c r="BC470" s="250"/>
      <c r="BE470" s="119"/>
    </row>
    <row r="471" spans="34:57" ht="14.15" customHeight="1" x14ac:dyDescent="0.35">
      <c r="AH471" s="114"/>
      <c r="AI471" s="114"/>
      <c r="AJ471" s="130"/>
      <c r="AK471" s="130"/>
      <c r="AL471" s="130"/>
      <c r="AM471" s="130"/>
      <c r="AN471" s="130"/>
      <c r="AO471" s="130"/>
      <c r="AP471" s="130"/>
      <c r="AQ471" s="130"/>
      <c r="AR471" s="130"/>
      <c r="AS471" s="130"/>
      <c r="BC471" s="250"/>
      <c r="BE471" s="119"/>
    </row>
    <row r="472" spans="34:57" ht="14.15" customHeight="1" x14ac:dyDescent="0.35">
      <c r="AH472" s="114"/>
      <c r="AI472" s="114"/>
      <c r="AJ472" s="130"/>
      <c r="AK472" s="130"/>
      <c r="AL472" s="130"/>
      <c r="AM472" s="130"/>
      <c r="AN472" s="130"/>
      <c r="AO472" s="130"/>
      <c r="AP472" s="130"/>
      <c r="AQ472" s="130"/>
      <c r="AR472" s="130"/>
      <c r="AS472" s="130"/>
      <c r="BC472" s="250"/>
      <c r="BE472" s="119"/>
    </row>
    <row r="473" spans="34:57" ht="14.15" customHeight="1" x14ac:dyDescent="0.35">
      <c r="AH473" s="114"/>
      <c r="AI473" s="114"/>
      <c r="AJ473" s="130"/>
      <c r="AK473" s="130"/>
      <c r="AL473" s="130"/>
      <c r="AM473" s="130"/>
      <c r="AN473" s="130"/>
      <c r="AO473" s="130"/>
      <c r="AP473" s="130"/>
      <c r="AQ473" s="130"/>
      <c r="AR473" s="130"/>
      <c r="AS473" s="130"/>
      <c r="BC473" s="250"/>
      <c r="BE473" s="119"/>
    </row>
    <row r="474" spans="34:57" ht="14.15" customHeight="1" x14ac:dyDescent="0.35">
      <c r="AH474" s="114"/>
      <c r="AI474" s="114"/>
      <c r="AJ474" s="130"/>
      <c r="AK474" s="130"/>
      <c r="AL474" s="130"/>
      <c r="AM474" s="130"/>
      <c r="AN474" s="130"/>
      <c r="AO474" s="130"/>
      <c r="AP474" s="130"/>
      <c r="AQ474" s="130"/>
      <c r="AR474" s="130"/>
      <c r="AS474" s="130"/>
      <c r="BC474" s="250"/>
      <c r="BE474" s="119"/>
    </row>
    <row r="475" spans="34:57" ht="14.15" customHeight="1" x14ac:dyDescent="0.35">
      <c r="AH475" s="114"/>
      <c r="AI475" s="114"/>
      <c r="AJ475" s="130"/>
      <c r="AK475" s="130"/>
      <c r="AL475" s="130"/>
      <c r="AM475" s="130"/>
      <c r="AN475" s="130"/>
      <c r="AO475" s="130"/>
      <c r="AP475" s="130"/>
      <c r="AQ475" s="130"/>
      <c r="AR475" s="130"/>
      <c r="AS475" s="130"/>
      <c r="BC475" s="250"/>
      <c r="BE475" s="119"/>
    </row>
    <row r="476" spans="34:57" ht="14.15" customHeight="1" x14ac:dyDescent="0.35">
      <c r="AH476" s="114"/>
      <c r="AI476" s="114"/>
      <c r="AJ476" s="130"/>
      <c r="AK476" s="130"/>
      <c r="AL476" s="130"/>
      <c r="AM476" s="130"/>
      <c r="AN476" s="130"/>
      <c r="AO476" s="130"/>
      <c r="AP476" s="130"/>
      <c r="AQ476" s="130"/>
      <c r="AR476" s="130"/>
      <c r="AS476" s="130"/>
      <c r="BC476" s="250"/>
      <c r="BE476" s="119"/>
    </row>
    <row r="477" spans="34:57" ht="14.15" customHeight="1" x14ac:dyDescent="0.35">
      <c r="AH477" s="114"/>
      <c r="AI477" s="114"/>
      <c r="AJ477" s="130"/>
      <c r="AK477" s="130"/>
      <c r="AL477" s="130"/>
      <c r="AM477" s="130"/>
      <c r="AN477" s="130"/>
      <c r="AO477" s="130"/>
      <c r="AP477" s="130"/>
      <c r="AQ477" s="130"/>
      <c r="AR477" s="130"/>
      <c r="AS477" s="130"/>
      <c r="BC477" s="250"/>
      <c r="BE477" s="119"/>
    </row>
    <row r="478" spans="34:57" ht="14.15" customHeight="1" x14ac:dyDescent="0.35">
      <c r="AH478" s="114"/>
      <c r="AI478" s="114"/>
      <c r="AJ478" s="130"/>
      <c r="AK478" s="130"/>
      <c r="AL478" s="130"/>
      <c r="AM478" s="130"/>
      <c r="AN478" s="130"/>
      <c r="AO478" s="130"/>
      <c r="AP478" s="130"/>
      <c r="AQ478" s="130"/>
      <c r="AR478" s="130"/>
      <c r="AS478" s="130"/>
      <c r="BC478" s="250"/>
      <c r="BE478" s="119"/>
    </row>
    <row r="479" spans="34:57" ht="14.15" customHeight="1" x14ac:dyDescent="0.35">
      <c r="AH479" s="114"/>
      <c r="AI479" s="114"/>
      <c r="AJ479" s="130"/>
      <c r="AK479" s="130"/>
      <c r="AL479" s="130"/>
      <c r="AM479" s="130"/>
      <c r="AN479" s="130"/>
      <c r="AO479" s="130"/>
      <c r="AP479" s="130"/>
      <c r="AQ479" s="130"/>
      <c r="AR479" s="130"/>
      <c r="AS479" s="130"/>
      <c r="BC479" s="250"/>
      <c r="BE479" s="119"/>
    </row>
    <row r="480" spans="34:57" ht="14.15" customHeight="1" x14ac:dyDescent="0.35">
      <c r="AH480" s="114"/>
      <c r="AI480" s="114"/>
      <c r="AJ480" s="130"/>
      <c r="AK480" s="130"/>
      <c r="AL480" s="130"/>
      <c r="AM480" s="130"/>
      <c r="AN480" s="130"/>
      <c r="AO480" s="130"/>
      <c r="AP480" s="130"/>
      <c r="AQ480" s="130"/>
      <c r="AR480" s="130"/>
      <c r="AS480" s="130"/>
      <c r="BC480" s="250"/>
      <c r="BE480" s="119"/>
    </row>
    <row r="481" spans="34:57" ht="14.15" customHeight="1" x14ac:dyDescent="0.35">
      <c r="AH481" s="114"/>
      <c r="AI481" s="114"/>
      <c r="AJ481" s="130"/>
      <c r="AK481" s="130"/>
      <c r="AL481" s="130"/>
      <c r="AM481" s="130"/>
      <c r="AN481" s="130"/>
      <c r="AO481" s="130"/>
      <c r="AP481" s="130"/>
      <c r="AQ481" s="130"/>
      <c r="AR481" s="130"/>
      <c r="AS481" s="130"/>
      <c r="BC481" s="250"/>
      <c r="BE481" s="119"/>
    </row>
    <row r="482" spans="34:57" ht="14.15" customHeight="1" x14ac:dyDescent="0.35">
      <c r="AH482" s="114"/>
      <c r="AI482" s="114"/>
      <c r="AJ482" s="130"/>
      <c r="AK482" s="130"/>
      <c r="AL482" s="130"/>
      <c r="AM482" s="130"/>
      <c r="AN482" s="130"/>
      <c r="AO482" s="130"/>
      <c r="AP482" s="130"/>
      <c r="AQ482" s="130"/>
      <c r="AR482" s="130"/>
      <c r="AS482" s="130"/>
      <c r="BC482" s="250"/>
      <c r="BE482" s="119"/>
    </row>
    <row r="483" spans="34:57" ht="14.15" customHeight="1" x14ac:dyDescent="0.35">
      <c r="AH483" s="114"/>
      <c r="AI483" s="114"/>
      <c r="AJ483" s="130"/>
      <c r="AK483" s="130"/>
      <c r="AL483" s="130"/>
      <c r="AM483" s="130"/>
      <c r="AN483" s="130"/>
      <c r="AO483" s="130"/>
      <c r="AP483" s="130"/>
      <c r="AQ483" s="130"/>
      <c r="AR483" s="130"/>
      <c r="AS483" s="130"/>
      <c r="BC483" s="250"/>
      <c r="BE483" s="119"/>
    </row>
    <row r="484" spans="34:57" ht="14.15" customHeight="1" x14ac:dyDescent="0.35">
      <c r="AH484" s="114"/>
      <c r="AI484" s="114"/>
      <c r="AJ484" s="130"/>
      <c r="AK484" s="130"/>
      <c r="AL484" s="130"/>
      <c r="AM484" s="130"/>
      <c r="AN484" s="130"/>
      <c r="AO484" s="130"/>
      <c r="AP484" s="130"/>
      <c r="AQ484" s="130"/>
      <c r="AR484" s="130"/>
      <c r="AS484" s="130"/>
      <c r="BC484" s="250"/>
      <c r="BE484" s="119"/>
    </row>
    <row r="485" spans="34:57" ht="14.15" customHeight="1" x14ac:dyDescent="0.35">
      <c r="AH485" s="114"/>
      <c r="AI485" s="114"/>
      <c r="AJ485" s="130"/>
      <c r="AK485" s="130"/>
      <c r="AL485" s="130"/>
      <c r="AM485" s="130"/>
      <c r="AN485" s="130"/>
      <c r="AO485" s="130"/>
      <c r="AP485" s="130"/>
      <c r="AQ485" s="130"/>
      <c r="AR485" s="130"/>
      <c r="AS485" s="130"/>
      <c r="BC485" s="250"/>
      <c r="BE485" s="119"/>
    </row>
    <row r="486" spans="34:57" ht="14.15" customHeight="1" x14ac:dyDescent="0.35">
      <c r="AH486" s="114"/>
      <c r="AI486" s="114"/>
      <c r="AJ486" s="130"/>
      <c r="AK486" s="130"/>
      <c r="AL486" s="130"/>
      <c r="AM486" s="130"/>
      <c r="AN486" s="130"/>
      <c r="AO486" s="130"/>
      <c r="AP486" s="130"/>
      <c r="AQ486" s="130"/>
      <c r="AR486" s="130"/>
      <c r="AS486" s="130"/>
      <c r="BC486" s="250"/>
      <c r="BE486" s="119"/>
    </row>
    <row r="487" spans="34:57" ht="14.15" customHeight="1" x14ac:dyDescent="0.35">
      <c r="AH487" s="114"/>
      <c r="AI487" s="114"/>
      <c r="AJ487" s="130"/>
      <c r="AK487" s="130"/>
      <c r="AL487" s="130"/>
      <c r="AM487" s="130"/>
      <c r="AN487" s="130"/>
      <c r="AO487" s="130"/>
      <c r="AP487" s="130"/>
      <c r="AQ487" s="130"/>
      <c r="AR487" s="130"/>
      <c r="AS487" s="130"/>
      <c r="BC487" s="250"/>
      <c r="BE487" s="119"/>
    </row>
    <row r="488" spans="34:57" ht="14.15" customHeight="1" x14ac:dyDescent="0.35">
      <c r="AH488" s="114"/>
      <c r="AI488" s="114"/>
      <c r="AJ488" s="130"/>
      <c r="AK488" s="130"/>
      <c r="AL488" s="130"/>
      <c r="AM488" s="130"/>
      <c r="AN488" s="130"/>
      <c r="AO488" s="130"/>
      <c r="AP488" s="130"/>
      <c r="AQ488" s="130"/>
      <c r="AR488" s="130"/>
      <c r="AS488" s="130"/>
      <c r="BC488" s="250"/>
      <c r="BE488" s="119"/>
    </row>
    <row r="489" spans="34:57" ht="14.15" customHeight="1" x14ac:dyDescent="0.35">
      <c r="AH489" s="114"/>
      <c r="AI489" s="114"/>
      <c r="AJ489" s="130"/>
      <c r="AK489" s="130"/>
      <c r="AL489" s="130"/>
      <c r="AM489" s="130"/>
      <c r="AN489" s="130"/>
      <c r="AO489" s="130"/>
      <c r="AP489" s="130"/>
      <c r="AQ489" s="130"/>
      <c r="AR489" s="130"/>
      <c r="AS489" s="130"/>
      <c r="BC489" s="250"/>
      <c r="BE489" s="119"/>
    </row>
    <row r="490" spans="34:57" ht="14.15" customHeight="1" x14ac:dyDescent="0.35">
      <c r="AH490" s="114"/>
      <c r="AI490" s="114"/>
      <c r="AJ490" s="130"/>
      <c r="AK490" s="130"/>
      <c r="AL490" s="130"/>
      <c r="AM490" s="130"/>
      <c r="AN490" s="130"/>
      <c r="AO490" s="130"/>
      <c r="AP490" s="130"/>
      <c r="AQ490" s="130"/>
      <c r="AR490" s="130"/>
      <c r="AS490" s="130"/>
      <c r="BC490" s="250"/>
      <c r="BE490" s="119"/>
    </row>
    <row r="491" spans="34:57" ht="14.15" customHeight="1" x14ac:dyDescent="0.35">
      <c r="AH491" s="114"/>
      <c r="AI491" s="114"/>
      <c r="AJ491" s="130"/>
      <c r="AK491" s="130"/>
      <c r="AL491" s="130"/>
      <c r="AM491" s="130"/>
      <c r="AN491" s="130"/>
      <c r="AO491" s="130"/>
      <c r="AP491" s="130"/>
      <c r="AQ491" s="130"/>
      <c r="AR491" s="130"/>
      <c r="AS491" s="130"/>
      <c r="BC491" s="250"/>
      <c r="BE491" s="119"/>
    </row>
    <row r="492" spans="34:57" ht="14.15" customHeight="1" x14ac:dyDescent="0.35">
      <c r="AH492" s="114"/>
      <c r="AI492" s="114"/>
      <c r="AJ492" s="130"/>
      <c r="AK492" s="130"/>
      <c r="AL492" s="130"/>
      <c r="AM492" s="130"/>
      <c r="AN492" s="130"/>
      <c r="AO492" s="130"/>
      <c r="AP492" s="130"/>
      <c r="AQ492" s="130"/>
      <c r="AR492" s="130"/>
      <c r="AS492" s="130"/>
      <c r="BC492" s="250"/>
      <c r="BE492" s="119"/>
    </row>
    <row r="493" spans="34:57" ht="14.15" customHeight="1" x14ac:dyDescent="0.35">
      <c r="AH493" s="114"/>
      <c r="AI493" s="114"/>
      <c r="AJ493" s="130"/>
      <c r="AK493" s="130"/>
      <c r="AL493" s="130"/>
      <c r="AM493" s="130"/>
      <c r="AN493" s="130"/>
      <c r="AO493" s="130"/>
      <c r="AP493" s="130"/>
      <c r="AQ493" s="130"/>
      <c r="AR493" s="130"/>
      <c r="AS493" s="130"/>
      <c r="BC493" s="250"/>
      <c r="BE493" s="119"/>
    </row>
    <row r="494" spans="34:57" ht="14.15" customHeight="1" x14ac:dyDescent="0.35">
      <c r="AH494" s="114"/>
      <c r="AI494" s="114"/>
      <c r="AJ494" s="130"/>
      <c r="AK494" s="130"/>
      <c r="AL494" s="130"/>
      <c r="AM494" s="130"/>
      <c r="AN494" s="130"/>
      <c r="AO494" s="130"/>
      <c r="AP494" s="130"/>
      <c r="AQ494" s="130"/>
      <c r="AR494" s="130"/>
      <c r="AS494" s="130"/>
      <c r="BC494" s="250"/>
      <c r="BE494" s="119"/>
    </row>
    <row r="495" spans="34:57" ht="14.15" customHeight="1" x14ac:dyDescent="0.35">
      <c r="AH495" s="114"/>
      <c r="AI495" s="114"/>
      <c r="AJ495" s="130"/>
      <c r="AK495" s="130"/>
      <c r="AL495" s="130"/>
      <c r="AM495" s="130"/>
      <c r="AN495" s="130"/>
      <c r="AO495" s="130"/>
      <c r="AP495" s="130"/>
      <c r="AQ495" s="130"/>
      <c r="AR495" s="130"/>
      <c r="AS495" s="130"/>
      <c r="BC495" s="250"/>
      <c r="BE495" s="119"/>
    </row>
    <row r="496" spans="34:57" ht="14.15" customHeight="1" x14ac:dyDescent="0.35">
      <c r="AH496" s="114"/>
      <c r="AI496" s="114"/>
      <c r="AJ496" s="130"/>
      <c r="AK496" s="130"/>
      <c r="AL496" s="130"/>
      <c r="AM496" s="130"/>
      <c r="AN496" s="130"/>
      <c r="AO496" s="130"/>
      <c r="AP496" s="130"/>
      <c r="AQ496" s="130"/>
      <c r="AR496" s="130"/>
      <c r="AS496" s="130"/>
      <c r="BC496" s="250"/>
      <c r="BE496" s="119"/>
    </row>
    <row r="497" spans="34:57" ht="14.15" customHeight="1" x14ac:dyDescent="0.35">
      <c r="AH497" s="114"/>
      <c r="AI497" s="114"/>
      <c r="AJ497" s="130"/>
      <c r="AK497" s="130"/>
      <c r="AL497" s="130"/>
      <c r="AM497" s="130"/>
      <c r="AN497" s="130"/>
      <c r="AO497" s="130"/>
      <c r="AP497" s="130"/>
      <c r="AQ497" s="130"/>
      <c r="AR497" s="130"/>
      <c r="AS497" s="130"/>
      <c r="BC497" s="250"/>
      <c r="BE497" s="119"/>
    </row>
    <row r="498" spans="34:57" ht="14.15" customHeight="1" x14ac:dyDescent="0.35">
      <c r="AH498" s="114"/>
      <c r="AI498" s="114"/>
      <c r="AJ498" s="130"/>
      <c r="AK498" s="130"/>
      <c r="AL498" s="130"/>
      <c r="AM498" s="130"/>
      <c r="AN498" s="130"/>
      <c r="AO498" s="130"/>
      <c r="AP498" s="130"/>
      <c r="AQ498" s="130"/>
      <c r="AR498" s="130"/>
      <c r="AS498" s="130"/>
      <c r="BC498" s="250"/>
      <c r="BE498" s="119"/>
    </row>
    <row r="499" spans="34:57" ht="14.15" customHeight="1" x14ac:dyDescent="0.35">
      <c r="AH499" s="114"/>
      <c r="AI499" s="114"/>
      <c r="AJ499" s="130"/>
      <c r="AK499" s="130"/>
      <c r="AL499" s="130"/>
      <c r="AM499" s="130"/>
      <c r="AN499" s="130"/>
      <c r="AO499" s="130"/>
      <c r="AP499" s="130"/>
      <c r="AQ499" s="130"/>
      <c r="AR499" s="130"/>
      <c r="AS499" s="130"/>
      <c r="BC499" s="250"/>
      <c r="BE499" s="119"/>
    </row>
    <row r="500" spans="34:57" ht="14.15" customHeight="1" x14ac:dyDescent="0.35">
      <c r="AH500" s="114"/>
      <c r="AI500" s="114"/>
      <c r="AJ500" s="130"/>
      <c r="AK500" s="130"/>
      <c r="AL500" s="130"/>
      <c r="AM500" s="130"/>
      <c r="AN500" s="130"/>
      <c r="AO500" s="130"/>
      <c r="AP500" s="130"/>
      <c r="AQ500" s="130"/>
      <c r="AR500" s="130"/>
      <c r="AS500" s="130"/>
      <c r="BC500" s="250"/>
      <c r="BE500" s="119"/>
    </row>
    <row r="501" spans="34:57" ht="14.15" customHeight="1" x14ac:dyDescent="0.35">
      <c r="AH501" s="114"/>
      <c r="AI501" s="114"/>
      <c r="AJ501" s="130"/>
      <c r="AK501" s="130"/>
      <c r="AL501" s="130"/>
      <c r="AM501" s="130"/>
      <c r="AN501" s="130"/>
      <c r="AO501" s="130"/>
      <c r="AP501" s="130"/>
      <c r="AQ501" s="130"/>
      <c r="AR501" s="130"/>
      <c r="AS501" s="130"/>
      <c r="BC501" s="250"/>
      <c r="BE501" s="119"/>
    </row>
    <row r="502" spans="34:57" ht="14.15" customHeight="1" x14ac:dyDescent="0.35">
      <c r="AH502" s="114"/>
      <c r="AI502" s="114"/>
      <c r="AJ502" s="130"/>
      <c r="AK502" s="130"/>
      <c r="AL502" s="130"/>
      <c r="AM502" s="130"/>
      <c r="AN502" s="130"/>
      <c r="AO502" s="130"/>
      <c r="AP502" s="130"/>
      <c r="AQ502" s="130"/>
      <c r="AR502" s="130"/>
      <c r="AS502" s="130"/>
      <c r="BC502" s="250"/>
      <c r="BE502" s="119"/>
    </row>
    <row r="503" spans="34:57" ht="14.15" customHeight="1" x14ac:dyDescent="0.35">
      <c r="AH503" s="114"/>
      <c r="AI503" s="114"/>
      <c r="AJ503" s="130"/>
      <c r="AK503" s="130"/>
      <c r="AL503" s="130"/>
      <c r="AM503" s="130"/>
      <c r="AN503" s="130"/>
      <c r="AO503" s="130"/>
      <c r="AP503" s="130"/>
      <c r="AQ503" s="130"/>
      <c r="AR503" s="130"/>
      <c r="AS503" s="130"/>
      <c r="BC503" s="250"/>
      <c r="BE503" s="119"/>
    </row>
    <row r="504" spans="34:57" ht="14.15" customHeight="1" x14ac:dyDescent="0.35">
      <c r="AH504" s="114"/>
      <c r="AI504" s="114"/>
      <c r="AJ504" s="130"/>
      <c r="AK504" s="130"/>
      <c r="AL504" s="130"/>
      <c r="AM504" s="130"/>
      <c r="AN504" s="130"/>
      <c r="AO504" s="130"/>
      <c r="AP504" s="130"/>
      <c r="AQ504" s="130"/>
      <c r="AR504" s="130"/>
      <c r="AS504" s="130"/>
      <c r="BC504" s="250"/>
      <c r="BE504" s="119"/>
    </row>
    <row r="505" spans="34:57" ht="14.15" customHeight="1" x14ac:dyDescent="0.35">
      <c r="AH505" s="114"/>
      <c r="AI505" s="114"/>
      <c r="AJ505" s="130"/>
      <c r="AK505" s="130"/>
      <c r="AL505" s="130"/>
      <c r="AM505" s="130"/>
      <c r="AN505" s="130"/>
      <c r="AO505" s="130"/>
      <c r="AP505" s="130"/>
      <c r="AQ505" s="130"/>
      <c r="AR505" s="130"/>
      <c r="AS505" s="130"/>
      <c r="BC505" s="250"/>
      <c r="BE505" s="119"/>
    </row>
    <row r="506" spans="34:57" ht="14.15" customHeight="1" x14ac:dyDescent="0.35">
      <c r="AH506" s="114"/>
      <c r="AI506" s="114"/>
      <c r="AJ506" s="130"/>
      <c r="AK506" s="130"/>
      <c r="AL506" s="130"/>
      <c r="AM506" s="130"/>
      <c r="AN506" s="130"/>
      <c r="AO506" s="130"/>
      <c r="AP506" s="130"/>
      <c r="AQ506" s="130"/>
      <c r="AR506" s="130"/>
      <c r="AS506" s="130"/>
      <c r="BC506" s="250"/>
      <c r="BE506" s="119"/>
    </row>
    <row r="507" spans="34:57" ht="14.15" customHeight="1" x14ac:dyDescent="0.35">
      <c r="AH507" s="114"/>
      <c r="AI507" s="114"/>
      <c r="AJ507" s="130"/>
      <c r="AK507" s="130"/>
      <c r="AL507" s="130"/>
      <c r="AM507" s="130"/>
      <c r="AN507" s="130"/>
      <c r="AO507" s="130"/>
      <c r="AP507" s="130"/>
      <c r="AQ507" s="130"/>
      <c r="AR507" s="130"/>
      <c r="AS507" s="130"/>
      <c r="BC507" s="250"/>
      <c r="BE507" s="119"/>
    </row>
    <row r="508" spans="34:57" ht="14.15" customHeight="1" x14ac:dyDescent="0.35">
      <c r="AH508" s="114"/>
      <c r="AI508" s="114"/>
      <c r="AJ508" s="130"/>
      <c r="AK508" s="130"/>
      <c r="AL508" s="130"/>
      <c r="AM508" s="130"/>
      <c r="AN508" s="130"/>
      <c r="AO508" s="130"/>
      <c r="AP508" s="130"/>
      <c r="AQ508" s="130"/>
      <c r="AR508" s="130"/>
      <c r="AS508" s="130"/>
      <c r="BC508" s="250"/>
      <c r="BE508" s="119"/>
    </row>
    <row r="509" spans="34:57" ht="14.15" customHeight="1" x14ac:dyDescent="0.35">
      <c r="AH509" s="114"/>
      <c r="AI509" s="114"/>
      <c r="AJ509" s="130"/>
      <c r="AK509" s="130"/>
      <c r="AL509" s="130"/>
      <c r="AM509" s="130"/>
      <c r="AN509" s="130"/>
      <c r="AO509" s="130"/>
      <c r="AP509" s="130"/>
      <c r="AQ509" s="130"/>
      <c r="AR509" s="130"/>
      <c r="AS509" s="130"/>
      <c r="BC509" s="250"/>
      <c r="BE509" s="119"/>
    </row>
    <row r="510" spans="34:57" ht="14.15" customHeight="1" x14ac:dyDescent="0.35">
      <c r="AH510" s="114"/>
      <c r="AI510" s="114"/>
      <c r="AJ510" s="130"/>
      <c r="AK510" s="130"/>
      <c r="AL510" s="130"/>
      <c r="AM510" s="130"/>
      <c r="AN510" s="130"/>
      <c r="AO510" s="130"/>
      <c r="AP510" s="130"/>
      <c r="AQ510" s="130"/>
      <c r="AR510" s="130"/>
      <c r="AS510" s="130"/>
      <c r="BC510" s="250"/>
      <c r="BE510" s="119"/>
    </row>
    <row r="511" spans="34:57" ht="14.15" customHeight="1" x14ac:dyDescent="0.35">
      <c r="AH511" s="114"/>
      <c r="AI511" s="114"/>
      <c r="AJ511" s="130"/>
      <c r="AK511" s="130"/>
      <c r="AL511" s="130"/>
      <c r="AM511" s="130"/>
      <c r="AN511" s="130"/>
      <c r="AO511" s="130"/>
      <c r="AP511" s="130"/>
      <c r="AQ511" s="130"/>
      <c r="AR511" s="130"/>
      <c r="AS511" s="130"/>
      <c r="BC511" s="250"/>
      <c r="BE511" s="119"/>
    </row>
    <row r="512" spans="34:57" ht="14.15" customHeight="1" x14ac:dyDescent="0.35">
      <c r="AH512" s="114"/>
      <c r="AI512" s="114"/>
      <c r="AJ512" s="130"/>
      <c r="AK512" s="130"/>
      <c r="AL512" s="130"/>
      <c r="AM512" s="130"/>
      <c r="AN512" s="130"/>
      <c r="AO512" s="130"/>
      <c r="AP512" s="130"/>
      <c r="AQ512" s="130"/>
      <c r="AR512" s="130"/>
      <c r="AS512" s="130"/>
      <c r="BC512" s="250"/>
      <c r="BE512" s="119"/>
    </row>
    <row r="513" spans="34:57" ht="14.15" customHeight="1" x14ac:dyDescent="0.35">
      <c r="AH513" s="114"/>
      <c r="AI513" s="114"/>
      <c r="AJ513" s="130"/>
      <c r="AK513" s="130"/>
      <c r="AL513" s="130"/>
      <c r="AM513" s="130"/>
      <c r="AN513" s="130"/>
      <c r="AO513" s="130"/>
      <c r="AP513" s="130"/>
      <c r="AQ513" s="130"/>
      <c r="AR513" s="130"/>
      <c r="AS513" s="130"/>
      <c r="BC513" s="250"/>
      <c r="BE513" s="119"/>
    </row>
    <row r="514" spans="34:57" ht="14.15" customHeight="1" x14ac:dyDescent="0.35">
      <c r="AH514" s="114"/>
      <c r="AI514" s="114"/>
      <c r="AJ514" s="130"/>
      <c r="AK514" s="130"/>
      <c r="AL514" s="130"/>
      <c r="AM514" s="130"/>
      <c r="AN514" s="130"/>
      <c r="AO514" s="130"/>
      <c r="AP514" s="130"/>
      <c r="AQ514" s="130"/>
      <c r="AR514" s="130"/>
      <c r="AS514" s="130"/>
      <c r="BC514" s="250"/>
      <c r="BE514" s="119"/>
    </row>
    <row r="515" spans="34:57" ht="14.15" customHeight="1" x14ac:dyDescent="0.35">
      <c r="AH515" s="114"/>
      <c r="AI515" s="114"/>
      <c r="AJ515" s="130"/>
      <c r="AK515" s="130"/>
      <c r="AL515" s="130"/>
      <c r="AM515" s="130"/>
      <c r="AN515" s="130"/>
      <c r="AO515" s="130"/>
      <c r="AP515" s="130"/>
      <c r="AQ515" s="130"/>
      <c r="AR515" s="130"/>
      <c r="AS515" s="130"/>
      <c r="BC515" s="250"/>
      <c r="BE515" s="119"/>
    </row>
    <row r="516" spans="34:57" ht="14.15" customHeight="1" x14ac:dyDescent="0.35">
      <c r="AH516" s="114"/>
      <c r="AI516" s="114"/>
      <c r="AJ516" s="130"/>
      <c r="AK516" s="130"/>
      <c r="AL516" s="130"/>
      <c r="AM516" s="130"/>
      <c r="AN516" s="130"/>
      <c r="AO516" s="130"/>
      <c r="AP516" s="130"/>
      <c r="AQ516" s="130"/>
      <c r="AR516" s="130"/>
      <c r="AS516" s="130"/>
      <c r="BC516" s="250"/>
      <c r="BE516" s="119"/>
    </row>
    <row r="517" spans="34:57" ht="14.15" customHeight="1" x14ac:dyDescent="0.35">
      <c r="AH517" s="114"/>
      <c r="AI517" s="114"/>
      <c r="AJ517" s="130"/>
      <c r="AK517" s="130"/>
      <c r="AL517" s="130"/>
      <c r="AM517" s="130"/>
      <c r="AN517" s="130"/>
      <c r="AO517" s="130"/>
      <c r="AP517" s="130"/>
      <c r="AQ517" s="130"/>
      <c r="AR517" s="130"/>
      <c r="AS517" s="130"/>
      <c r="BC517" s="250"/>
      <c r="BE517" s="119"/>
    </row>
    <row r="518" spans="34:57" ht="14.15" customHeight="1" x14ac:dyDescent="0.35">
      <c r="AH518" s="114"/>
      <c r="AI518" s="114"/>
      <c r="AJ518" s="130"/>
      <c r="AK518" s="130"/>
      <c r="AL518" s="130"/>
      <c r="AM518" s="130"/>
      <c r="AN518" s="130"/>
      <c r="AO518" s="130"/>
      <c r="AP518" s="130"/>
      <c r="AQ518" s="130"/>
      <c r="AR518" s="130"/>
      <c r="AS518" s="130"/>
      <c r="BC518" s="250"/>
      <c r="BE518" s="119"/>
    </row>
    <row r="519" spans="34:57" ht="14.15" customHeight="1" x14ac:dyDescent="0.35">
      <c r="AH519" s="114"/>
      <c r="AI519" s="114"/>
      <c r="AJ519" s="130"/>
      <c r="AK519" s="130"/>
      <c r="AL519" s="130"/>
      <c r="AM519" s="130"/>
      <c r="AN519" s="130"/>
      <c r="AO519" s="130"/>
      <c r="AP519" s="130"/>
      <c r="AQ519" s="130"/>
      <c r="AR519" s="130"/>
      <c r="AS519" s="130"/>
      <c r="BC519" s="250"/>
      <c r="BE519" s="119"/>
    </row>
    <row r="520" spans="34:57" ht="14.15" customHeight="1" x14ac:dyDescent="0.35">
      <c r="AH520" s="114"/>
      <c r="AI520" s="114"/>
      <c r="AJ520" s="130"/>
      <c r="AK520" s="130"/>
      <c r="AL520" s="130"/>
      <c r="AM520" s="130"/>
      <c r="AN520" s="130"/>
      <c r="AO520" s="130"/>
      <c r="AP520" s="130"/>
      <c r="AQ520" s="130"/>
      <c r="AR520" s="130"/>
      <c r="AS520" s="130"/>
      <c r="BC520" s="250"/>
      <c r="BE520" s="119"/>
    </row>
    <row r="521" spans="34:57" ht="14.15" customHeight="1" x14ac:dyDescent="0.35">
      <c r="AH521" s="114"/>
      <c r="AI521" s="114"/>
      <c r="AJ521" s="130"/>
      <c r="AK521" s="130"/>
      <c r="AL521" s="130"/>
      <c r="AM521" s="130"/>
      <c r="AN521" s="130"/>
      <c r="AO521" s="130"/>
      <c r="AP521" s="130"/>
      <c r="AQ521" s="130"/>
      <c r="AR521" s="130"/>
      <c r="AS521" s="130"/>
      <c r="BC521" s="250"/>
      <c r="BE521" s="119"/>
    </row>
    <row r="522" spans="34:57" ht="14.15" customHeight="1" x14ac:dyDescent="0.35">
      <c r="AH522" s="114"/>
      <c r="AI522" s="114"/>
      <c r="AJ522" s="130"/>
      <c r="AK522" s="130"/>
      <c r="AL522" s="130"/>
      <c r="AM522" s="130"/>
      <c r="AN522" s="130"/>
      <c r="AO522" s="130"/>
      <c r="AP522" s="130"/>
      <c r="AQ522" s="130"/>
      <c r="AR522" s="130"/>
      <c r="AS522" s="130"/>
      <c r="BC522" s="250"/>
      <c r="BE522" s="119"/>
    </row>
    <row r="523" spans="34:57" ht="14.15" customHeight="1" x14ac:dyDescent="0.35">
      <c r="AH523" s="114"/>
      <c r="AI523" s="114"/>
      <c r="AJ523" s="130"/>
      <c r="AK523" s="130"/>
      <c r="AL523" s="130"/>
      <c r="AM523" s="130"/>
      <c r="AN523" s="130"/>
      <c r="AO523" s="130"/>
      <c r="AP523" s="130"/>
      <c r="AQ523" s="130"/>
      <c r="AR523" s="130"/>
      <c r="AS523" s="130"/>
      <c r="BC523" s="250"/>
      <c r="BE523" s="119"/>
    </row>
    <row r="524" spans="34:57" ht="14.15" customHeight="1" x14ac:dyDescent="0.35">
      <c r="AH524" s="114"/>
      <c r="AI524" s="114"/>
      <c r="AJ524" s="130"/>
      <c r="AK524" s="130"/>
      <c r="AL524" s="130"/>
      <c r="AM524" s="130"/>
      <c r="AN524" s="130"/>
      <c r="AO524" s="130"/>
      <c r="AP524" s="130"/>
      <c r="AQ524" s="130"/>
      <c r="AR524" s="130"/>
      <c r="AS524" s="130"/>
      <c r="BC524" s="250"/>
      <c r="BE524" s="119"/>
    </row>
    <row r="525" spans="34:57" ht="14.15" customHeight="1" x14ac:dyDescent="0.35">
      <c r="AH525" s="114"/>
      <c r="AI525" s="114"/>
      <c r="AJ525" s="130"/>
      <c r="AK525" s="130"/>
      <c r="AL525" s="130"/>
      <c r="AM525" s="130"/>
      <c r="AN525" s="130"/>
      <c r="AO525" s="130"/>
      <c r="AP525" s="130"/>
      <c r="AQ525" s="130"/>
      <c r="AR525" s="130"/>
      <c r="AS525" s="130"/>
      <c r="BC525" s="250"/>
      <c r="BE525" s="119"/>
    </row>
    <row r="526" spans="34:57" ht="14.15" customHeight="1" x14ac:dyDescent="0.35">
      <c r="AH526" s="114"/>
      <c r="AI526" s="114"/>
      <c r="AJ526" s="130"/>
      <c r="AK526" s="130"/>
      <c r="AL526" s="130"/>
      <c r="AM526" s="130"/>
      <c r="AN526" s="130"/>
      <c r="AO526" s="130"/>
      <c r="AP526" s="130"/>
      <c r="AQ526" s="130"/>
      <c r="AR526" s="130"/>
      <c r="AS526" s="130"/>
      <c r="BC526" s="250"/>
      <c r="BE526" s="119"/>
    </row>
    <row r="527" spans="34:57" ht="14.15" customHeight="1" x14ac:dyDescent="0.35">
      <c r="AH527" s="114"/>
      <c r="AI527" s="114"/>
      <c r="AJ527" s="130"/>
      <c r="AK527" s="130"/>
      <c r="AL527" s="130"/>
      <c r="AM527" s="130"/>
      <c r="AN527" s="130"/>
      <c r="AO527" s="130"/>
      <c r="AP527" s="130"/>
      <c r="AQ527" s="130"/>
      <c r="AR527" s="130"/>
      <c r="AS527" s="130"/>
      <c r="BC527" s="250"/>
      <c r="BE527" s="119"/>
    </row>
    <row r="528" spans="34:57" ht="14.15" customHeight="1" x14ac:dyDescent="0.35">
      <c r="AH528" s="114"/>
      <c r="AI528" s="114"/>
      <c r="AJ528" s="130"/>
      <c r="AK528" s="130"/>
      <c r="AL528" s="130"/>
      <c r="AM528" s="130"/>
      <c r="AN528" s="130"/>
      <c r="AO528" s="130"/>
      <c r="AP528" s="130"/>
      <c r="AQ528" s="130"/>
      <c r="AR528" s="130"/>
      <c r="AS528" s="130"/>
      <c r="BC528" s="250"/>
      <c r="BE528" s="119"/>
    </row>
    <row r="529" spans="34:57" ht="14.15" customHeight="1" x14ac:dyDescent="0.35">
      <c r="AH529" s="114"/>
      <c r="AI529" s="114"/>
      <c r="AJ529" s="130"/>
      <c r="AK529" s="130"/>
      <c r="AL529" s="130"/>
      <c r="AM529" s="130"/>
      <c r="AN529" s="130"/>
      <c r="AO529" s="130"/>
      <c r="AP529" s="130"/>
      <c r="AQ529" s="130"/>
      <c r="AR529" s="130"/>
      <c r="AS529" s="130"/>
      <c r="BC529" s="250"/>
      <c r="BE529" s="119"/>
    </row>
    <row r="530" spans="34:57" ht="14.15" customHeight="1" x14ac:dyDescent="0.35">
      <c r="AH530" s="114"/>
      <c r="AI530" s="114"/>
      <c r="AJ530" s="130"/>
      <c r="AK530" s="130"/>
      <c r="AL530" s="130"/>
      <c r="AM530" s="130"/>
      <c r="AN530" s="130"/>
      <c r="AO530" s="130"/>
      <c r="AP530" s="130"/>
      <c r="AQ530" s="130"/>
      <c r="AR530" s="130"/>
      <c r="AS530" s="130"/>
      <c r="BC530" s="250"/>
      <c r="BE530" s="119"/>
    </row>
    <row r="531" spans="34:57" ht="14.15" customHeight="1" x14ac:dyDescent="0.35">
      <c r="AH531" s="114"/>
      <c r="AI531" s="114"/>
      <c r="AJ531" s="130"/>
      <c r="AK531" s="130"/>
      <c r="AL531" s="130"/>
      <c r="AM531" s="130"/>
      <c r="AN531" s="130"/>
      <c r="AO531" s="130"/>
      <c r="AP531" s="130"/>
      <c r="AQ531" s="130"/>
      <c r="AR531" s="130"/>
      <c r="AS531" s="130"/>
      <c r="BC531" s="250"/>
      <c r="BE531" s="119"/>
    </row>
    <row r="532" spans="34:57" ht="14.15" customHeight="1" x14ac:dyDescent="0.35">
      <c r="AH532" s="114"/>
      <c r="AI532" s="114"/>
      <c r="AJ532" s="130"/>
      <c r="AK532" s="130"/>
      <c r="AL532" s="130"/>
      <c r="AM532" s="130"/>
      <c r="AN532" s="130"/>
      <c r="AO532" s="130"/>
      <c r="AP532" s="130"/>
      <c r="AQ532" s="130"/>
      <c r="AR532" s="130"/>
      <c r="AS532" s="130"/>
      <c r="BC532" s="250"/>
      <c r="BE532" s="119"/>
    </row>
    <row r="533" spans="34:57" ht="14.15" customHeight="1" x14ac:dyDescent="0.35">
      <c r="AH533" s="114"/>
      <c r="AI533" s="114"/>
      <c r="AJ533" s="130"/>
      <c r="AK533" s="130"/>
      <c r="AL533" s="130"/>
      <c r="AM533" s="130"/>
      <c r="AN533" s="130"/>
      <c r="AO533" s="130"/>
      <c r="AP533" s="130"/>
      <c r="AQ533" s="130"/>
      <c r="AR533" s="130"/>
      <c r="AS533" s="130"/>
      <c r="BC533" s="250"/>
      <c r="BE533" s="119"/>
    </row>
    <row r="534" spans="34:57" ht="14.15" customHeight="1" x14ac:dyDescent="0.35">
      <c r="AH534" s="114"/>
      <c r="AI534" s="114"/>
      <c r="AJ534" s="130"/>
      <c r="AK534" s="130"/>
      <c r="AL534" s="130"/>
      <c r="AM534" s="130"/>
      <c r="AN534" s="130"/>
      <c r="AO534" s="130"/>
      <c r="AP534" s="130"/>
      <c r="AQ534" s="130"/>
      <c r="AR534" s="130"/>
      <c r="AS534" s="130"/>
      <c r="BC534" s="250"/>
      <c r="BE534" s="119"/>
    </row>
    <row r="535" spans="34:57" ht="14.15" customHeight="1" x14ac:dyDescent="0.35">
      <c r="AH535" s="114"/>
      <c r="AI535" s="114"/>
      <c r="AJ535" s="130"/>
      <c r="AK535" s="130"/>
      <c r="AL535" s="130"/>
      <c r="AM535" s="130"/>
      <c r="AN535" s="130"/>
      <c r="AO535" s="130"/>
      <c r="AP535" s="130"/>
      <c r="AQ535" s="130"/>
      <c r="AR535" s="130"/>
      <c r="AS535" s="130"/>
      <c r="BC535" s="250"/>
      <c r="BE535" s="119"/>
    </row>
    <row r="536" spans="34:57" ht="14.15" customHeight="1" x14ac:dyDescent="0.35">
      <c r="AH536" s="114"/>
      <c r="AI536" s="114"/>
      <c r="AJ536" s="130"/>
      <c r="AK536" s="130"/>
      <c r="AL536" s="130"/>
      <c r="AM536" s="130"/>
      <c r="AN536" s="130"/>
      <c r="AO536" s="130"/>
      <c r="AP536" s="130"/>
      <c r="AQ536" s="130"/>
      <c r="AR536" s="130"/>
      <c r="AS536" s="130"/>
      <c r="BC536" s="250"/>
      <c r="BE536" s="119"/>
    </row>
    <row r="537" spans="34:57" ht="14.15" customHeight="1" x14ac:dyDescent="0.35">
      <c r="AH537" s="114"/>
      <c r="AI537" s="114"/>
      <c r="AJ537" s="130"/>
      <c r="AK537" s="130"/>
      <c r="AL537" s="130"/>
      <c r="AM537" s="130"/>
      <c r="AN537" s="130"/>
      <c r="AO537" s="130"/>
      <c r="AP537" s="130"/>
      <c r="AQ537" s="130"/>
      <c r="AR537" s="130"/>
      <c r="AS537" s="130"/>
      <c r="BC537" s="250"/>
      <c r="BE537" s="119"/>
    </row>
    <row r="538" spans="34:57" ht="14.15" customHeight="1" x14ac:dyDescent="0.35">
      <c r="AH538" s="114"/>
      <c r="AI538" s="114"/>
      <c r="AJ538" s="130"/>
      <c r="AK538" s="130"/>
      <c r="AL538" s="130"/>
      <c r="AM538" s="130"/>
      <c r="AN538" s="130"/>
      <c r="AO538" s="130"/>
      <c r="AP538" s="130"/>
      <c r="AQ538" s="130"/>
      <c r="AR538" s="130"/>
      <c r="AS538" s="130"/>
      <c r="BC538" s="250"/>
      <c r="BE538" s="119"/>
    </row>
    <row r="539" spans="34:57" ht="14.15" customHeight="1" x14ac:dyDescent="0.35">
      <c r="AH539" s="114"/>
      <c r="AI539" s="114"/>
      <c r="AJ539" s="130"/>
      <c r="AK539" s="130"/>
      <c r="AL539" s="130"/>
      <c r="AM539" s="130"/>
      <c r="AN539" s="130"/>
      <c r="AO539" s="130"/>
      <c r="AP539" s="130"/>
      <c r="AQ539" s="130"/>
      <c r="AR539" s="130"/>
      <c r="AS539" s="130"/>
      <c r="BC539" s="250"/>
      <c r="BE539" s="119"/>
    </row>
    <row r="540" spans="34:57" ht="14.15" customHeight="1" x14ac:dyDescent="0.35">
      <c r="AH540" s="114"/>
      <c r="AI540" s="114"/>
      <c r="AJ540" s="130"/>
      <c r="AK540" s="130"/>
      <c r="AL540" s="130"/>
      <c r="AM540" s="130"/>
      <c r="AN540" s="130"/>
      <c r="AO540" s="130"/>
      <c r="AP540" s="130"/>
      <c r="AQ540" s="130"/>
      <c r="AR540" s="130"/>
      <c r="AS540" s="130"/>
      <c r="BC540" s="250"/>
      <c r="BE540" s="119"/>
    </row>
    <row r="541" spans="34:57" ht="14.15" customHeight="1" x14ac:dyDescent="0.35">
      <c r="AH541" s="114"/>
      <c r="AI541" s="114"/>
      <c r="AJ541" s="130"/>
      <c r="AK541" s="130"/>
      <c r="AL541" s="130"/>
      <c r="AM541" s="130"/>
      <c r="AN541" s="130"/>
      <c r="AO541" s="130"/>
      <c r="AP541" s="130"/>
      <c r="AQ541" s="130"/>
      <c r="AR541" s="130"/>
      <c r="AS541" s="130"/>
      <c r="BC541" s="250"/>
      <c r="BE541" s="119"/>
    </row>
    <row r="542" spans="34:57" ht="14.15" customHeight="1" x14ac:dyDescent="0.35">
      <c r="AH542" s="114"/>
      <c r="AI542" s="114"/>
      <c r="AJ542" s="130"/>
      <c r="AK542" s="130"/>
      <c r="AL542" s="130"/>
      <c r="AM542" s="130"/>
      <c r="AN542" s="130"/>
      <c r="AO542" s="130"/>
      <c r="AP542" s="130"/>
      <c r="AQ542" s="130"/>
      <c r="AR542" s="130"/>
      <c r="AS542" s="130"/>
      <c r="BC542" s="250"/>
      <c r="BE542" s="119"/>
    </row>
    <row r="543" spans="34:57" ht="14.15" customHeight="1" x14ac:dyDescent="0.35">
      <c r="AH543" s="114"/>
      <c r="AI543" s="114"/>
      <c r="AJ543" s="130"/>
      <c r="AK543" s="130"/>
      <c r="AL543" s="130"/>
      <c r="AM543" s="130"/>
      <c r="AN543" s="130"/>
      <c r="AO543" s="130"/>
      <c r="AP543" s="130"/>
      <c r="AQ543" s="130"/>
      <c r="AR543" s="130"/>
      <c r="AS543" s="130"/>
      <c r="BC543" s="250"/>
      <c r="BE543" s="119"/>
    </row>
    <row r="544" spans="34:57" ht="14.15" customHeight="1" x14ac:dyDescent="0.35">
      <c r="AH544" s="114"/>
      <c r="AI544" s="114"/>
      <c r="AJ544" s="130"/>
      <c r="AK544" s="130"/>
      <c r="AL544" s="130"/>
      <c r="AM544" s="130"/>
      <c r="AN544" s="130"/>
      <c r="AO544" s="130"/>
      <c r="AP544" s="130"/>
      <c r="AQ544" s="130"/>
      <c r="AR544" s="130"/>
      <c r="AS544" s="130"/>
      <c r="BC544" s="250"/>
      <c r="BE544" s="119"/>
    </row>
    <row r="545" spans="34:57" ht="14.15" customHeight="1" x14ac:dyDescent="0.35">
      <c r="AH545" s="114"/>
      <c r="AI545" s="114"/>
      <c r="AJ545" s="130"/>
      <c r="AK545" s="130"/>
      <c r="AL545" s="130"/>
      <c r="AM545" s="130"/>
      <c r="AN545" s="130"/>
      <c r="AO545" s="130"/>
      <c r="AP545" s="130"/>
      <c r="AQ545" s="130"/>
      <c r="AR545" s="130"/>
      <c r="AS545" s="130"/>
      <c r="BC545" s="250"/>
      <c r="BE545" s="119"/>
    </row>
    <row r="546" spans="34:57" ht="14.15" customHeight="1" x14ac:dyDescent="0.35">
      <c r="AH546" s="114"/>
      <c r="AI546" s="114"/>
      <c r="AJ546" s="130"/>
      <c r="AK546" s="130"/>
      <c r="AL546" s="130"/>
      <c r="AM546" s="130"/>
      <c r="AN546" s="130"/>
      <c r="AO546" s="130"/>
      <c r="AP546" s="130"/>
      <c r="AQ546" s="130"/>
      <c r="AR546" s="130"/>
      <c r="AS546" s="130"/>
      <c r="BC546" s="250"/>
      <c r="BE546" s="119"/>
    </row>
    <row r="547" spans="34:57" ht="14.15" customHeight="1" x14ac:dyDescent="0.35">
      <c r="AH547" s="114"/>
      <c r="AI547" s="114"/>
      <c r="AJ547" s="130"/>
      <c r="AK547" s="130"/>
      <c r="AL547" s="130"/>
      <c r="AM547" s="130"/>
      <c r="AN547" s="130"/>
      <c r="AO547" s="130"/>
      <c r="AP547" s="130"/>
      <c r="AQ547" s="130"/>
      <c r="AR547" s="130"/>
      <c r="AS547" s="130"/>
      <c r="BC547" s="250"/>
      <c r="BE547" s="119"/>
    </row>
    <row r="548" spans="34:57" ht="14.15" customHeight="1" x14ac:dyDescent="0.35">
      <c r="AH548" s="114"/>
      <c r="AI548" s="114"/>
      <c r="AJ548" s="130"/>
      <c r="AK548" s="130"/>
      <c r="AL548" s="130"/>
      <c r="AM548" s="130"/>
      <c r="AN548" s="130"/>
      <c r="AO548" s="130"/>
      <c r="AP548" s="130"/>
      <c r="AQ548" s="130"/>
      <c r="AR548" s="130"/>
      <c r="AS548" s="130"/>
      <c r="BC548" s="250"/>
      <c r="BE548" s="119"/>
    </row>
    <row r="549" spans="34:57" ht="14.15" customHeight="1" x14ac:dyDescent="0.35">
      <c r="AH549" s="114"/>
      <c r="AI549" s="114"/>
      <c r="AJ549" s="130"/>
      <c r="AK549" s="130"/>
      <c r="AL549" s="130"/>
      <c r="AM549" s="130"/>
      <c r="AN549" s="130"/>
      <c r="AO549" s="130"/>
      <c r="AP549" s="130"/>
      <c r="AQ549" s="130"/>
      <c r="AR549" s="130"/>
      <c r="AS549" s="130"/>
      <c r="BC549" s="250"/>
      <c r="BE549" s="119"/>
    </row>
    <row r="550" spans="34:57" ht="14.15" customHeight="1" x14ac:dyDescent="0.35">
      <c r="AH550" s="114"/>
      <c r="AI550" s="114"/>
      <c r="AJ550" s="130"/>
      <c r="AK550" s="130"/>
      <c r="AL550" s="130"/>
      <c r="AM550" s="130"/>
      <c r="AN550" s="130"/>
      <c r="AO550" s="130"/>
      <c r="AP550" s="130"/>
      <c r="AQ550" s="130"/>
      <c r="AR550" s="130"/>
      <c r="AS550" s="130"/>
      <c r="BC550" s="250"/>
      <c r="BE550" s="119"/>
    </row>
    <row r="551" spans="34:57" ht="14.15" customHeight="1" x14ac:dyDescent="0.35">
      <c r="AH551" s="114"/>
      <c r="AI551" s="114"/>
      <c r="AJ551" s="130"/>
      <c r="AK551" s="130"/>
      <c r="AL551" s="130"/>
      <c r="AM551" s="130"/>
      <c r="AN551" s="130"/>
      <c r="AO551" s="130"/>
      <c r="AP551" s="130"/>
      <c r="AQ551" s="130"/>
      <c r="AR551" s="130"/>
      <c r="AS551" s="130"/>
      <c r="BC551" s="250"/>
      <c r="BE551" s="119"/>
    </row>
    <row r="552" spans="34:57" ht="14.15" customHeight="1" x14ac:dyDescent="0.35">
      <c r="AH552" s="114"/>
      <c r="AI552" s="114"/>
      <c r="AJ552" s="130"/>
      <c r="AK552" s="130"/>
      <c r="AL552" s="130"/>
      <c r="AM552" s="130"/>
      <c r="AN552" s="130"/>
      <c r="AO552" s="130"/>
      <c r="AP552" s="130"/>
      <c r="AQ552" s="130"/>
      <c r="AR552" s="130"/>
      <c r="AS552" s="130"/>
      <c r="BC552" s="250"/>
      <c r="BE552" s="119"/>
    </row>
    <row r="553" spans="34:57" ht="14.15" customHeight="1" x14ac:dyDescent="0.35">
      <c r="AH553" s="114"/>
      <c r="AI553" s="114"/>
      <c r="AJ553" s="130"/>
      <c r="AK553" s="130"/>
      <c r="AL553" s="130"/>
      <c r="AM553" s="130"/>
      <c r="AN553" s="130"/>
      <c r="AO553" s="130"/>
      <c r="AP553" s="130"/>
      <c r="AQ553" s="130"/>
      <c r="AR553" s="130"/>
      <c r="AS553" s="130"/>
      <c r="BC553" s="250"/>
      <c r="BE553" s="119"/>
    </row>
    <row r="554" spans="34:57" ht="14.15" customHeight="1" x14ac:dyDescent="0.35">
      <c r="AH554" s="114"/>
      <c r="AI554" s="114"/>
      <c r="AJ554" s="130"/>
      <c r="AK554" s="130"/>
      <c r="AL554" s="130"/>
      <c r="AM554" s="130"/>
      <c r="AN554" s="130"/>
      <c r="AO554" s="130"/>
      <c r="AP554" s="130"/>
      <c r="AQ554" s="130"/>
      <c r="AR554" s="130"/>
      <c r="AS554" s="130"/>
      <c r="BC554" s="250"/>
      <c r="BE554" s="119"/>
    </row>
    <row r="555" spans="34:57" ht="14.15" customHeight="1" x14ac:dyDescent="0.35">
      <c r="AH555" s="114"/>
      <c r="AI555" s="114"/>
      <c r="AJ555" s="130"/>
      <c r="AK555" s="130"/>
      <c r="AL555" s="130"/>
      <c r="AM555" s="130"/>
      <c r="AN555" s="130"/>
      <c r="AO555" s="130"/>
      <c r="AP555" s="130"/>
      <c r="AQ555" s="130"/>
      <c r="AR555" s="130"/>
      <c r="AS555" s="130"/>
      <c r="BC555" s="250"/>
      <c r="BE555" s="119"/>
    </row>
    <row r="556" spans="34:57" ht="14.15" customHeight="1" x14ac:dyDescent="0.35">
      <c r="AH556" s="114"/>
      <c r="AI556" s="114"/>
      <c r="AJ556" s="130"/>
      <c r="AK556" s="130"/>
      <c r="AL556" s="130"/>
      <c r="AM556" s="130"/>
      <c r="AN556" s="130"/>
      <c r="AO556" s="130"/>
      <c r="AP556" s="130"/>
      <c r="AQ556" s="130"/>
      <c r="AR556" s="130"/>
      <c r="AS556" s="130"/>
      <c r="BC556" s="250"/>
      <c r="BE556" s="119"/>
    </row>
    <row r="557" spans="34:57" ht="14.15" customHeight="1" x14ac:dyDescent="0.35">
      <c r="AH557" s="114"/>
      <c r="AI557" s="114"/>
      <c r="AJ557" s="130"/>
      <c r="AK557" s="130"/>
      <c r="AL557" s="130"/>
      <c r="AM557" s="130"/>
      <c r="AN557" s="130"/>
      <c r="AO557" s="130"/>
      <c r="AP557" s="130"/>
      <c r="AQ557" s="130"/>
      <c r="AR557" s="130"/>
      <c r="AS557" s="130"/>
      <c r="BC557" s="250"/>
      <c r="BE557" s="119"/>
    </row>
    <row r="558" spans="34:57" ht="14.15" customHeight="1" x14ac:dyDescent="0.35">
      <c r="AH558" s="114"/>
      <c r="AI558" s="114"/>
      <c r="AJ558" s="130"/>
      <c r="AK558" s="130"/>
      <c r="AL558" s="130"/>
      <c r="AM558" s="130"/>
      <c r="AN558" s="130"/>
      <c r="AO558" s="130"/>
      <c r="AP558" s="130"/>
      <c r="AQ558" s="130"/>
      <c r="AR558" s="130"/>
      <c r="AS558" s="130"/>
      <c r="BC558" s="250"/>
      <c r="BE558" s="119"/>
    </row>
    <row r="559" spans="34:57" ht="14.15" customHeight="1" x14ac:dyDescent="0.35">
      <c r="AH559" s="114"/>
      <c r="AI559" s="114"/>
      <c r="AJ559" s="130"/>
      <c r="AK559" s="130"/>
      <c r="AL559" s="130"/>
      <c r="AM559" s="130"/>
      <c r="AN559" s="130"/>
      <c r="AO559" s="130"/>
      <c r="AP559" s="130"/>
      <c r="AQ559" s="130"/>
      <c r="AR559" s="130"/>
      <c r="AS559" s="130"/>
      <c r="BC559" s="250"/>
      <c r="BE559" s="119"/>
    </row>
    <row r="560" spans="34:57" ht="14.15" customHeight="1" x14ac:dyDescent="0.35">
      <c r="AH560" s="114"/>
      <c r="AI560" s="114"/>
      <c r="AJ560" s="130"/>
      <c r="AK560" s="130"/>
      <c r="AL560" s="130"/>
      <c r="AM560" s="130"/>
      <c r="AN560" s="130"/>
      <c r="AO560" s="130"/>
      <c r="AP560" s="130"/>
      <c r="AQ560" s="130"/>
      <c r="AR560" s="130"/>
      <c r="AS560" s="130"/>
      <c r="BC560" s="250"/>
      <c r="BE560" s="119"/>
    </row>
    <row r="561" spans="34:57" ht="14.15" customHeight="1" x14ac:dyDescent="0.35">
      <c r="AH561" s="114"/>
      <c r="AI561" s="114"/>
      <c r="AJ561" s="130"/>
      <c r="AK561" s="130"/>
      <c r="AL561" s="130"/>
      <c r="AM561" s="130"/>
      <c r="AN561" s="130"/>
      <c r="AO561" s="130"/>
      <c r="AP561" s="130"/>
      <c r="AQ561" s="130"/>
      <c r="AR561" s="130"/>
      <c r="AS561" s="130"/>
      <c r="BC561" s="250"/>
      <c r="BE561" s="119"/>
    </row>
    <row r="562" spans="34:57" ht="14.15" customHeight="1" x14ac:dyDescent="0.35">
      <c r="AH562" s="114"/>
      <c r="AI562" s="114"/>
      <c r="AJ562" s="130"/>
      <c r="AK562" s="130"/>
      <c r="AL562" s="130"/>
      <c r="AM562" s="130"/>
      <c r="AN562" s="130"/>
      <c r="AO562" s="130"/>
      <c r="AP562" s="130"/>
      <c r="AQ562" s="130"/>
      <c r="AR562" s="130"/>
      <c r="AS562" s="130"/>
      <c r="BC562" s="250"/>
      <c r="BE562" s="119"/>
    </row>
    <row r="563" spans="34:57" ht="14.15" customHeight="1" x14ac:dyDescent="0.35">
      <c r="AH563" s="114"/>
      <c r="AI563" s="114"/>
      <c r="AJ563" s="130"/>
      <c r="AK563" s="130"/>
      <c r="AL563" s="130"/>
      <c r="AM563" s="130"/>
      <c r="AN563" s="130"/>
      <c r="AO563" s="130"/>
      <c r="AP563" s="130"/>
      <c r="AQ563" s="130"/>
      <c r="AR563" s="130"/>
      <c r="AS563" s="130"/>
      <c r="BC563" s="250"/>
      <c r="BE563" s="119"/>
    </row>
    <row r="564" spans="34:57" ht="14.15" customHeight="1" x14ac:dyDescent="0.35">
      <c r="AH564" s="114"/>
      <c r="AI564" s="114"/>
      <c r="AJ564" s="130"/>
      <c r="AK564" s="130"/>
      <c r="AL564" s="130"/>
      <c r="AM564" s="130"/>
      <c r="AN564" s="130"/>
      <c r="AO564" s="130"/>
      <c r="AP564" s="130"/>
      <c r="AQ564" s="130"/>
      <c r="AR564" s="130"/>
      <c r="AS564" s="130"/>
      <c r="BC564" s="250"/>
      <c r="BE564" s="119"/>
    </row>
    <row r="565" spans="34:57" ht="14.15" customHeight="1" x14ac:dyDescent="0.35">
      <c r="AH565" s="114"/>
      <c r="AI565" s="114"/>
      <c r="AJ565" s="130"/>
      <c r="AK565" s="130"/>
      <c r="AL565" s="130"/>
      <c r="AM565" s="130"/>
      <c r="AN565" s="130"/>
      <c r="AO565" s="130"/>
      <c r="AP565" s="130"/>
      <c r="AQ565" s="130"/>
      <c r="AR565" s="130"/>
      <c r="AS565" s="130"/>
      <c r="BC565" s="250"/>
      <c r="BE565" s="119"/>
    </row>
    <row r="566" spans="34:57" ht="14.15" customHeight="1" x14ac:dyDescent="0.35">
      <c r="AH566" s="114"/>
      <c r="AI566" s="114"/>
      <c r="AJ566" s="130"/>
      <c r="AK566" s="130"/>
      <c r="AL566" s="130"/>
      <c r="AM566" s="130"/>
      <c r="AN566" s="130"/>
      <c r="AO566" s="130"/>
      <c r="AP566" s="130"/>
      <c r="AQ566" s="130"/>
      <c r="AR566" s="130"/>
      <c r="AS566" s="130"/>
      <c r="BC566" s="250"/>
      <c r="BE566" s="119"/>
    </row>
    <row r="567" spans="34:57" ht="14.15" customHeight="1" x14ac:dyDescent="0.35">
      <c r="AH567" s="114"/>
      <c r="AI567" s="114"/>
      <c r="AJ567" s="130"/>
      <c r="AK567" s="130"/>
      <c r="AL567" s="130"/>
      <c r="AM567" s="130"/>
      <c r="AN567" s="130"/>
      <c r="AO567" s="130"/>
      <c r="AP567" s="130"/>
      <c r="AQ567" s="130"/>
      <c r="AR567" s="130"/>
      <c r="AS567" s="130"/>
      <c r="BC567" s="250"/>
      <c r="BE567" s="119"/>
    </row>
    <row r="568" spans="34:57" ht="14.15" customHeight="1" x14ac:dyDescent="0.35">
      <c r="AH568" s="114"/>
      <c r="AI568" s="114"/>
      <c r="AJ568" s="130"/>
      <c r="AK568" s="130"/>
      <c r="AL568" s="130"/>
      <c r="AM568" s="130"/>
      <c r="AN568" s="130"/>
      <c r="AO568" s="130"/>
      <c r="AP568" s="130"/>
      <c r="AQ568" s="130"/>
      <c r="AR568" s="130"/>
      <c r="AS568" s="130"/>
      <c r="BC568" s="250"/>
      <c r="BE568" s="119"/>
    </row>
    <row r="569" spans="34:57" ht="14.15" customHeight="1" x14ac:dyDescent="0.35">
      <c r="AH569" s="114"/>
      <c r="AI569" s="114"/>
      <c r="AJ569" s="130"/>
      <c r="AK569" s="130"/>
      <c r="AL569" s="130"/>
      <c r="AM569" s="130"/>
      <c r="AN569" s="130"/>
      <c r="AO569" s="130"/>
      <c r="AP569" s="130"/>
      <c r="AQ569" s="130"/>
      <c r="AR569" s="130"/>
      <c r="AS569" s="130"/>
      <c r="BC569" s="250"/>
      <c r="BE569" s="119"/>
    </row>
    <row r="570" spans="34:57" ht="14.15" customHeight="1" x14ac:dyDescent="0.35">
      <c r="AH570" s="114"/>
      <c r="AI570" s="114"/>
      <c r="AJ570" s="130"/>
      <c r="AK570" s="130"/>
      <c r="AL570" s="130"/>
      <c r="AM570" s="130"/>
      <c r="AN570" s="130"/>
      <c r="AO570" s="130"/>
      <c r="AP570" s="130"/>
      <c r="AQ570" s="130"/>
      <c r="AR570" s="130"/>
      <c r="AS570" s="130"/>
      <c r="BC570" s="250"/>
      <c r="BE570" s="119"/>
    </row>
    <row r="571" spans="34:57" ht="14.15" customHeight="1" x14ac:dyDescent="0.35">
      <c r="AH571" s="114"/>
      <c r="AI571" s="114"/>
      <c r="AJ571" s="130"/>
      <c r="AK571" s="130"/>
      <c r="AL571" s="130"/>
      <c r="AM571" s="130"/>
      <c r="AN571" s="130"/>
      <c r="AO571" s="130"/>
      <c r="AP571" s="130"/>
      <c r="AQ571" s="130"/>
      <c r="AR571" s="130"/>
      <c r="AS571" s="130"/>
      <c r="BC571" s="250"/>
      <c r="BE571" s="119"/>
    </row>
    <row r="572" spans="34:57" ht="14.15" customHeight="1" x14ac:dyDescent="0.35">
      <c r="AH572" s="114"/>
      <c r="AI572" s="114"/>
      <c r="AJ572" s="130"/>
      <c r="AK572" s="130"/>
      <c r="AL572" s="130"/>
      <c r="AM572" s="130"/>
      <c r="AN572" s="130"/>
      <c r="AO572" s="130"/>
      <c r="AP572" s="130"/>
      <c r="AQ572" s="130"/>
      <c r="AR572" s="130"/>
      <c r="AS572" s="130"/>
      <c r="BC572" s="250"/>
      <c r="BE572" s="119"/>
    </row>
    <row r="573" spans="34:57" ht="14.15" customHeight="1" x14ac:dyDescent="0.35">
      <c r="AH573" s="114"/>
      <c r="AI573" s="114"/>
      <c r="AJ573" s="130"/>
      <c r="AK573" s="130"/>
      <c r="AL573" s="130"/>
      <c r="AM573" s="130"/>
      <c r="AN573" s="130"/>
      <c r="AO573" s="130"/>
      <c r="AP573" s="130"/>
      <c r="AQ573" s="130"/>
      <c r="AR573" s="130"/>
      <c r="AS573" s="130"/>
      <c r="BC573" s="250"/>
      <c r="BE573" s="119"/>
    </row>
    <row r="574" spans="34:57" ht="14.15" customHeight="1" x14ac:dyDescent="0.35">
      <c r="AH574" s="114"/>
      <c r="AI574" s="114"/>
      <c r="AJ574" s="130"/>
      <c r="AK574" s="130"/>
      <c r="AL574" s="130"/>
      <c r="AM574" s="130"/>
      <c r="AN574" s="130"/>
      <c r="AO574" s="130"/>
      <c r="AP574" s="130"/>
      <c r="AQ574" s="130"/>
      <c r="AR574" s="130"/>
      <c r="AS574" s="130"/>
      <c r="BC574" s="250"/>
      <c r="BE574" s="119"/>
    </row>
    <row r="575" spans="34:57" ht="14.15" customHeight="1" x14ac:dyDescent="0.35">
      <c r="AH575" s="114"/>
      <c r="AI575" s="114"/>
      <c r="AJ575" s="130"/>
      <c r="AK575" s="130"/>
      <c r="AL575" s="130"/>
      <c r="AM575" s="130"/>
      <c r="AN575" s="130"/>
      <c r="AO575" s="130"/>
      <c r="AP575" s="130"/>
      <c r="AQ575" s="130"/>
      <c r="AR575" s="130"/>
      <c r="AS575" s="130"/>
      <c r="BC575" s="250"/>
      <c r="BE575" s="119"/>
    </row>
    <row r="576" spans="34:57" ht="14.15" customHeight="1" x14ac:dyDescent="0.35">
      <c r="AH576" s="114"/>
      <c r="AI576" s="114"/>
      <c r="AJ576" s="130"/>
      <c r="AK576" s="130"/>
      <c r="AL576" s="130"/>
      <c r="AM576" s="130"/>
      <c r="AN576" s="130"/>
      <c r="AO576" s="130"/>
      <c r="AP576" s="130"/>
      <c r="AQ576" s="130"/>
      <c r="AR576" s="130"/>
      <c r="AS576" s="130"/>
      <c r="BC576" s="250"/>
      <c r="BE576" s="119"/>
    </row>
    <row r="577" spans="34:57" ht="14.15" customHeight="1" x14ac:dyDescent="0.35">
      <c r="AH577" s="114"/>
      <c r="AI577" s="114"/>
      <c r="AJ577" s="130"/>
      <c r="AK577" s="130"/>
      <c r="AL577" s="130"/>
      <c r="AM577" s="130"/>
      <c r="AN577" s="130"/>
      <c r="AO577" s="130"/>
      <c r="AP577" s="130"/>
      <c r="AQ577" s="130"/>
      <c r="AR577" s="130"/>
      <c r="AS577" s="130"/>
      <c r="BC577" s="250"/>
      <c r="BE577" s="119"/>
    </row>
    <row r="578" spans="34:57" ht="14.15" customHeight="1" x14ac:dyDescent="0.35">
      <c r="AH578" s="114"/>
      <c r="AI578" s="114"/>
      <c r="AJ578" s="130"/>
      <c r="AK578" s="130"/>
      <c r="AL578" s="130"/>
      <c r="AM578" s="130"/>
      <c r="AN578" s="130"/>
      <c r="AO578" s="130"/>
      <c r="AP578" s="130"/>
      <c r="AQ578" s="130"/>
      <c r="AR578" s="130"/>
      <c r="AS578" s="130"/>
      <c r="BC578" s="250"/>
      <c r="BE578" s="119"/>
    </row>
    <row r="579" spans="34:57" ht="14.15" customHeight="1" x14ac:dyDescent="0.35">
      <c r="AH579" s="114"/>
      <c r="AI579" s="114"/>
      <c r="AJ579" s="130"/>
      <c r="AK579" s="130"/>
      <c r="AL579" s="130"/>
      <c r="AM579" s="130"/>
      <c r="AN579" s="130"/>
      <c r="AO579" s="130"/>
      <c r="AP579" s="130"/>
      <c r="AQ579" s="130"/>
      <c r="AR579" s="130"/>
      <c r="AS579" s="130"/>
      <c r="BC579" s="250"/>
      <c r="BE579" s="119"/>
    </row>
    <row r="580" spans="34:57" ht="14.15" customHeight="1" x14ac:dyDescent="0.35">
      <c r="AH580" s="114"/>
      <c r="AI580" s="114"/>
      <c r="AJ580" s="130"/>
      <c r="AK580" s="130"/>
      <c r="AL580" s="130"/>
      <c r="AM580" s="130"/>
      <c r="AN580" s="130"/>
      <c r="AO580" s="130"/>
      <c r="AP580" s="130"/>
      <c r="AQ580" s="130"/>
      <c r="AR580" s="130"/>
      <c r="AS580" s="130"/>
      <c r="BC580" s="250"/>
      <c r="BE580" s="119"/>
    </row>
    <row r="581" spans="34:57" ht="14.15" customHeight="1" x14ac:dyDescent="0.35">
      <c r="AH581" s="114"/>
      <c r="AI581" s="114"/>
      <c r="AJ581" s="130"/>
      <c r="AK581" s="130"/>
      <c r="AL581" s="130"/>
      <c r="AM581" s="130"/>
      <c r="AN581" s="130"/>
      <c r="AO581" s="130"/>
      <c r="AP581" s="130"/>
      <c r="AQ581" s="130"/>
      <c r="AR581" s="130"/>
      <c r="AS581" s="130"/>
      <c r="BC581" s="250"/>
      <c r="BE581" s="119"/>
    </row>
    <row r="582" spans="34:57" ht="14.15" customHeight="1" x14ac:dyDescent="0.35">
      <c r="AH582" s="114"/>
      <c r="AI582" s="114"/>
      <c r="AJ582" s="130"/>
      <c r="AK582" s="130"/>
      <c r="AL582" s="130"/>
      <c r="AM582" s="130"/>
      <c r="AN582" s="130"/>
      <c r="AO582" s="130"/>
      <c r="AP582" s="130"/>
      <c r="AQ582" s="130"/>
      <c r="AR582" s="130"/>
      <c r="AS582" s="130"/>
      <c r="BC582" s="250"/>
      <c r="BE582" s="119"/>
    </row>
    <row r="583" spans="34:57" ht="14.15" customHeight="1" x14ac:dyDescent="0.35">
      <c r="AH583" s="114"/>
      <c r="AI583" s="114"/>
      <c r="AJ583" s="130"/>
      <c r="AK583" s="130"/>
      <c r="AL583" s="130"/>
      <c r="AM583" s="130"/>
      <c r="AN583" s="130"/>
      <c r="AO583" s="130"/>
      <c r="AP583" s="130"/>
      <c r="AQ583" s="130"/>
      <c r="AR583" s="130"/>
      <c r="AS583" s="130"/>
      <c r="BC583" s="250"/>
      <c r="BE583" s="119"/>
    </row>
    <row r="584" spans="34:57" ht="14.15" customHeight="1" x14ac:dyDescent="0.35">
      <c r="AH584" s="114"/>
      <c r="AI584" s="114"/>
      <c r="AJ584" s="130"/>
      <c r="AK584" s="130"/>
      <c r="AL584" s="130"/>
      <c r="AM584" s="130"/>
      <c r="AN584" s="130"/>
      <c r="AO584" s="130"/>
      <c r="AP584" s="130"/>
      <c r="AQ584" s="130"/>
      <c r="AR584" s="130"/>
      <c r="AS584" s="130"/>
      <c r="BC584" s="250"/>
      <c r="BE584" s="119"/>
    </row>
    <row r="585" spans="34:57" ht="14.15" customHeight="1" x14ac:dyDescent="0.35">
      <c r="AH585" s="114"/>
      <c r="AI585" s="114"/>
      <c r="AJ585" s="130"/>
      <c r="AK585" s="130"/>
      <c r="AL585" s="130"/>
      <c r="AM585" s="130"/>
      <c r="AN585" s="130"/>
      <c r="AO585" s="130"/>
      <c r="AP585" s="130"/>
      <c r="AQ585" s="130"/>
      <c r="AR585" s="130"/>
      <c r="AS585" s="130"/>
      <c r="BC585" s="250"/>
      <c r="BE585" s="119"/>
    </row>
    <row r="586" spans="34:57" ht="14.15" customHeight="1" x14ac:dyDescent="0.35">
      <c r="AH586" s="114"/>
      <c r="AI586" s="114"/>
      <c r="AJ586" s="130"/>
      <c r="AK586" s="130"/>
      <c r="AL586" s="130"/>
      <c r="AM586" s="130"/>
      <c r="AN586" s="130"/>
      <c r="AO586" s="130"/>
      <c r="AP586" s="130"/>
      <c r="AQ586" s="130"/>
      <c r="AR586" s="130"/>
      <c r="AS586" s="130"/>
      <c r="BC586" s="250"/>
      <c r="BE586" s="119"/>
    </row>
    <row r="587" spans="34:57" ht="14.15" customHeight="1" x14ac:dyDescent="0.35">
      <c r="AH587" s="114"/>
      <c r="AI587" s="114"/>
      <c r="AJ587" s="130"/>
      <c r="AK587" s="130"/>
      <c r="AL587" s="130"/>
      <c r="AM587" s="130"/>
      <c r="AN587" s="130"/>
      <c r="AO587" s="130"/>
      <c r="AP587" s="130"/>
      <c r="AQ587" s="130"/>
      <c r="AR587" s="130"/>
      <c r="AS587" s="130"/>
      <c r="BC587" s="250"/>
      <c r="BE587" s="119"/>
    </row>
    <row r="588" spans="34:57" ht="14.15" customHeight="1" x14ac:dyDescent="0.35">
      <c r="AH588" s="114"/>
      <c r="AI588" s="114"/>
      <c r="AJ588" s="130"/>
      <c r="AK588" s="130"/>
      <c r="AL588" s="130"/>
      <c r="AM588" s="130"/>
      <c r="AN588" s="130"/>
      <c r="AO588" s="130"/>
      <c r="AP588" s="130"/>
      <c r="AQ588" s="130"/>
      <c r="AR588" s="130"/>
      <c r="AS588" s="130"/>
      <c r="BC588" s="250"/>
      <c r="BE588" s="119"/>
    </row>
    <row r="589" spans="34:57" ht="14.15" customHeight="1" x14ac:dyDescent="0.35">
      <c r="AH589" s="114"/>
      <c r="AI589" s="114"/>
      <c r="AJ589" s="130"/>
      <c r="AK589" s="130"/>
      <c r="AL589" s="130"/>
      <c r="AM589" s="130"/>
      <c r="AN589" s="130"/>
      <c r="AO589" s="130"/>
      <c r="AP589" s="130"/>
      <c r="AQ589" s="130"/>
      <c r="AR589" s="130"/>
      <c r="AS589" s="130"/>
      <c r="BC589" s="250"/>
      <c r="BE589" s="119"/>
    </row>
    <row r="590" spans="34:57" ht="14.15" customHeight="1" x14ac:dyDescent="0.35">
      <c r="AH590" s="114"/>
      <c r="AI590" s="114"/>
      <c r="AJ590" s="130"/>
      <c r="AK590" s="130"/>
      <c r="AL590" s="130"/>
      <c r="AM590" s="130"/>
      <c r="AN590" s="130"/>
      <c r="AO590" s="130"/>
      <c r="AP590" s="130"/>
      <c r="AQ590" s="130"/>
      <c r="AR590" s="130"/>
      <c r="AS590" s="130"/>
      <c r="BC590" s="250"/>
      <c r="BE590" s="119"/>
    </row>
    <row r="591" spans="34:57" ht="14.15" customHeight="1" x14ac:dyDescent="0.35">
      <c r="AH591" s="114"/>
      <c r="AI591" s="114"/>
      <c r="AJ591" s="130"/>
      <c r="AK591" s="130"/>
      <c r="AL591" s="130"/>
      <c r="AM591" s="130"/>
      <c r="AN591" s="130"/>
      <c r="AO591" s="130"/>
      <c r="AP591" s="130"/>
      <c r="AQ591" s="130"/>
      <c r="AR591" s="130"/>
      <c r="AS591" s="130"/>
      <c r="BC591" s="250"/>
      <c r="BE591" s="119"/>
    </row>
    <row r="592" spans="34:57" ht="14.15" customHeight="1" x14ac:dyDescent="0.35">
      <c r="AH592" s="114"/>
      <c r="AI592" s="114"/>
      <c r="AJ592" s="130"/>
      <c r="AK592" s="130"/>
      <c r="AL592" s="130"/>
      <c r="AM592" s="130"/>
      <c r="AN592" s="130"/>
      <c r="AO592" s="130"/>
      <c r="AP592" s="130"/>
      <c r="AQ592" s="130"/>
      <c r="AR592" s="130"/>
      <c r="AS592" s="130"/>
      <c r="BC592" s="250"/>
      <c r="BE592" s="119"/>
    </row>
    <row r="593" spans="34:57" ht="14.15" customHeight="1" x14ac:dyDescent="0.35">
      <c r="AH593" s="114"/>
      <c r="AI593" s="114"/>
      <c r="AJ593" s="130"/>
      <c r="AK593" s="130"/>
      <c r="AL593" s="130"/>
      <c r="AM593" s="130"/>
      <c r="AN593" s="130"/>
      <c r="AO593" s="130"/>
      <c r="AP593" s="130"/>
      <c r="AQ593" s="130"/>
      <c r="AR593" s="130"/>
      <c r="AS593" s="130"/>
      <c r="BC593" s="250"/>
      <c r="BE593" s="119"/>
    </row>
    <row r="594" spans="34:57" ht="14.15" customHeight="1" x14ac:dyDescent="0.35">
      <c r="AH594" s="114"/>
      <c r="AI594" s="114"/>
      <c r="AJ594" s="130"/>
      <c r="AK594" s="130"/>
      <c r="AL594" s="130"/>
      <c r="AM594" s="130"/>
      <c r="AN594" s="130"/>
      <c r="AO594" s="130"/>
      <c r="AP594" s="130"/>
      <c r="AQ594" s="130"/>
      <c r="AR594" s="130"/>
      <c r="AS594" s="130"/>
      <c r="BC594" s="250"/>
      <c r="BE594" s="119"/>
    </row>
    <row r="595" spans="34:57" ht="14.15" customHeight="1" x14ac:dyDescent="0.35">
      <c r="AH595" s="114"/>
      <c r="AI595" s="114"/>
      <c r="AJ595" s="130"/>
      <c r="AK595" s="130"/>
      <c r="AL595" s="130"/>
      <c r="AM595" s="130"/>
      <c r="AN595" s="130"/>
      <c r="AO595" s="130"/>
      <c r="AP595" s="130"/>
      <c r="AQ595" s="130"/>
      <c r="AR595" s="130"/>
      <c r="AS595" s="130"/>
      <c r="BC595" s="250"/>
      <c r="BE595" s="119"/>
    </row>
    <row r="596" spans="34:57" ht="14.15" customHeight="1" x14ac:dyDescent="0.35">
      <c r="AH596" s="114"/>
      <c r="AI596" s="114"/>
      <c r="AJ596" s="130"/>
      <c r="AK596" s="130"/>
      <c r="AL596" s="130"/>
      <c r="AM596" s="130"/>
      <c r="AN596" s="130"/>
      <c r="AO596" s="130"/>
      <c r="AP596" s="130"/>
      <c r="AQ596" s="130"/>
      <c r="AR596" s="130"/>
      <c r="AS596" s="130"/>
      <c r="BC596" s="250"/>
      <c r="BE596" s="119"/>
    </row>
    <row r="597" spans="34:57" ht="14.15" customHeight="1" x14ac:dyDescent="0.35">
      <c r="AH597" s="114"/>
      <c r="AI597" s="114"/>
      <c r="AJ597" s="130"/>
      <c r="AK597" s="130"/>
      <c r="AL597" s="130"/>
      <c r="AM597" s="130"/>
      <c r="AN597" s="130"/>
      <c r="AO597" s="130"/>
      <c r="AP597" s="130"/>
      <c r="AQ597" s="130"/>
      <c r="AR597" s="130"/>
      <c r="AS597" s="130"/>
      <c r="BC597" s="250"/>
      <c r="BE597" s="119"/>
    </row>
    <row r="598" spans="34:57" ht="14.15" customHeight="1" x14ac:dyDescent="0.35">
      <c r="AH598" s="114"/>
      <c r="AI598" s="114"/>
      <c r="AJ598" s="130"/>
      <c r="AK598" s="130"/>
      <c r="AL598" s="130"/>
      <c r="AM598" s="130"/>
      <c r="AN598" s="130"/>
      <c r="AO598" s="130"/>
      <c r="AP598" s="130"/>
      <c r="AQ598" s="130"/>
      <c r="AR598" s="130"/>
      <c r="AS598" s="130"/>
      <c r="BC598" s="250"/>
      <c r="BE598" s="119"/>
    </row>
    <row r="599" spans="34:57" ht="14.15" customHeight="1" x14ac:dyDescent="0.35">
      <c r="AH599" s="114"/>
      <c r="AI599" s="114"/>
      <c r="AJ599" s="130"/>
      <c r="AK599" s="130"/>
      <c r="AL599" s="130"/>
      <c r="AM599" s="130"/>
      <c r="AN599" s="130"/>
      <c r="AO599" s="130"/>
      <c r="AP599" s="130"/>
      <c r="AQ599" s="130"/>
      <c r="AR599" s="130"/>
      <c r="AS599" s="130"/>
      <c r="BC599" s="250"/>
      <c r="BE599" s="119"/>
    </row>
    <row r="600" spans="34:57" ht="14.15" customHeight="1" x14ac:dyDescent="0.35">
      <c r="AH600" s="114"/>
      <c r="AI600" s="114"/>
      <c r="AJ600" s="130"/>
      <c r="AK600" s="130"/>
      <c r="AL600" s="130"/>
      <c r="AM600" s="130"/>
      <c r="AN600" s="130"/>
      <c r="AO600" s="130"/>
      <c r="AP600" s="130"/>
      <c r="AQ600" s="130"/>
      <c r="AR600" s="130"/>
      <c r="AS600" s="130"/>
      <c r="BC600" s="250"/>
      <c r="BE600" s="119"/>
    </row>
    <row r="601" spans="34:57" ht="14.15" customHeight="1" x14ac:dyDescent="0.35">
      <c r="AH601" s="114"/>
      <c r="AI601" s="114"/>
      <c r="AJ601" s="130"/>
      <c r="AK601" s="130"/>
      <c r="AL601" s="130"/>
      <c r="AM601" s="130"/>
      <c r="AN601" s="130"/>
      <c r="AO601" s="130"/>
      <c r="AP601" s="130"/>
      <c r="AQ601" s="130"/>
      <c r="AR601" s="130"/>
      <c r="AS601" s="130"/>
      <c r="BC601" s="250"/>
      <c r="BE601" s="119"/>
    </row>
    <row r="602" spans="34:57" ht="14.15" customHeight="1" x14ac:dyDescent="0.35">
      <c r="AH602" s="114"/>
      <c r="AI602" s="114"/>
      <c r="AJ602" s="130"/>
      <c r="AK602" s="130"/>
      <c r="AL602" s="130"/>
      <c r="AM602" s="130"/>
      <c r="AN602" s="130"/>
      <c r="AO602" s="130"/>
      <c r="AP602" s="130"/>
      <c r="AQ602" s="130"/>
      <c r="AR602" s="130"/>
      <c r="AS602" s="130"/>
      <c r="BC602" s="250"/>
      <c r="BE602" s="119"/>
    </row>
    <row r="603" spans="34:57" ht="14.15" customHeight="1" x14ac:dyDescent="0.35">
      <c r="AH603" s="114"/>
      <c r="AI603" s="114"/>
      <c r="AJ603" s="130"/>
      <c r="AK603" s="130"/>
      <c r="AL603" s="130"/>
      <c r="AM603" s="130"/>
      <c r="AN603" s="130"/>
      <c r="AO603" s="130"/>
      <c r="AP603" s="130"/>
      <c r="AQ603" s="130"/>
      <c r="AR603" s="130"/>
      <c r="AS603" s="130"/>
      <c r="BC603" s="250"/>
      <c r="BE603" s="119"/>
    </row>
    <row r="604" spans="34:57" ht="14.15" customHeight="1" x14ac:dyDescent="0.35">
      <c r="AH604" s="114"/>
      <c r="AI604" s="114"/>
      <c r="AJ604" s="130"/>
      <c r="AK604" s="130"/>
      <c r="AL604" s="130"/>
      <c r="AM604" s="130"/>
      <c r="AN604" s="130"/>
      <c r="AO604" s="130"/>
      <c r="AP604" s="130"/>
      <c r="AQ604" s="130"/>
      <c r="AR604" s="130"/>
      <c r="AS604" s="130"/>
      <c r="BC604" s="250"/>
      <c r="BE604" s="119"/>
    </row>
    <row r="605" spans="34:57" ht="14.15" customHeight="1" x14ac:dyDescent="0.35">
      <c r="AH605" s="114"/>
      <c r="AI605" s="114"/>
      <c r="AJ605" s="130"/>
      <c r="AK605" s="130"/>
      <c r="AL605" s="130"/>
      <c r="AM605" s="130"/>
      <c r="AN605" s="130"/>
      <c r="AO605" s="130"/>
      <c r="AP605" s="130"/>
      <c r="AQ605" s="130"/>
      <c r="AR605" s="130"/>
      <c r="AS605" s="130"/>
      <c r="BC605" s="250"/>
      <c r="BE605" s="119"/>
    </row>
    <row r="606" spans="34:57" ht="14.15" customHeight="1" x14ac:dyDescent="0.35">
      <c r="AH606" s="114"/>
      <c r="AI606" s="114"/>
      <c r="AJ606" s="130"/>
      <c r="AK606" s="130"/>
      <c r="AL606" s="130"/>
      <c r="AM606" s="130"/>
      <c r="AN606" s="130"/>
      <c r="AO606" s="130"/>
      <c r="AP606" s="130"/>
      <c r="AQ606" s="130"/>
      <c r="AR606" s="130"/>
      <c r="AS606" s="130"/>
      <c r="BC606" s="250"/>
      <c r="BE606" s="119"/>
    </row>
    <row r="607" spans="34:57" ht="14.15" customHeight="1" x14ac:dyDescent="0.35">
      <c r="AH607" s="114"/>
      <c r="AI607" s="114"/>
      <c r="AJ607" s="130"/>
      <c r="AK607" s="130"/>
      <c r="AL607" s="130"/>
      <c r="AM607" s="130"/>
      <c r="AN607" s="130"/>
      <c r="AO607" s="130"/>
      <c r="AP607" s="130"/>
      <c r="AQ607" s="130"/>
      <c r="AR607" s="130"/>
      <c r="AS607" s="130"/>
      <c r="BC607" s="250"/>
      <c r="BE607" s="119"/>
    </row>
    <row r="608" spans="34:57" ht="14.15" customHeight="1" x14ac:dyDescent="0.35">
      <c r="AH608" s="114"/>
      <c r="AI608" s="114"/>
      <c r="AJ608" s="130"/>
      <c r="AK608" s="130"/>
      <c r="AL608" s="130"/>
      <c r="AM608" s="130"/>
      <c r="AN608" s="130"/>
      <c r="AO608" s="130"/>
      <c r="AP608" s="130"/>
      <c r="AQ608" s="130"/>
      <c r="AR608" s="130"/>
      <c r="AS608" s="130"/>
      <c r="BC608" s="250"/>
      <c r="BE608" s="119"/>
    </row>
    <row r="609" spans="34:57" ht="14.15" customHeight="1" x14ac:dyDescent="0.35">
      <c r="AH609" s="114"/>
      <c r="AI609" s="114"/>
      <c r="AJ609" s="130"/>
      <c r="AK609" s="130"/>
      <c r="AL609" s="130"/>
      <c r="AM609" s="130"/>
      <c r="AN609" s="130"/>
      <c r="AO609" s="130"/>
      <c r="AP609" s="130"/>
      <c r="AQ609" s="130"/>
      <c r="AR609" s="130"/>
      <c r="AS609" s="130"/>
      <c r="BC609" s="250"/>
      <c r="BE609" s="119"/>
    </row>
    <row r="610" spans="34:57" ht="14.15" customHeight="1" x14ac:dyDescent="0.35">
      <c r="AH610" s="114"/>
      <c r="AI610" s="114"/>
      <c r="AJ610" s="130"/>
      <c r="AK610" s="130"/>
      <c r="AL610" s="130"/>
      <c r="AM610" s="130"/>
      <c r="AN610" s="130"/>
      <c r="AO610" s="130"/>
      <c r="AP610" s="130"/>
      <c r="AQ610" s="130"/>
      <c r="AR610" s="130"/>
      <c r="AS610" s="130"/>
      <c r="BC610" s="250"/>
      <c r="BE610" s="119"/>
    </row>
    <row r="611" spans="34:57" ht="14.15" customHeight="1" x14ac:dyDescent="0.35">
      <c r="AH611" s="114"/>
      <c r="AI611" s="114"/>
      <c r="AJ611" s="130"/>
      <c r="AK611" s="130"/>
      <c r="AL611" s="130"/>
      <c r="AM611" s="130"/>
      <c r="AN611" s="130"/>
      <c r="AO611" s="130"/>
      <c r="AP611" s="130"/>
      <c r="AQ611" s="130"/>
      <c r="AR611" s="130"/>
      <c r="AS611" s="130"/>
      <c r="BC611" s="250"/>
      <c r="BE611" s="119"/>
    </row>
    <row r="612" spans="34:57" ht="14.15" customHeight="1" x14ac:dyDescent="0.35">
      <c r="AH612" s="114"/>
      <c r="AI612" s="114"/>
      <c r="AJ612" s="130"/>
      <c r="AK612" s="130"/>
      <c r="AL612" s="130"/>
      <c r="AM612" s="130"/>
      <c r="AN612" s="130"/>
      <c r="AO612" s="130"/>
      <c r="AP612" s="130"/>
      <c r="AQ612" s="130"/>
      <c r="AR612" s="130"/>
      <c r="AS612" s="130"/>
      <c r="BC612" s="250"/>
      <c r="BE612" s="119"/>
    </row>
    <row r="613" spans="34:57" ht="14.15" customHeight="1" x14ac:dyDescent="0.35">
      <c r="AH613" s="114"/>
      <c r="AI613" s="114"/>
      <c r="AJ613" s="130"/>
      <c r="AK613" s="130"/>
      <c r="AL613" s="130"/>
      <c r="AM613" s="130"/>
      <c r="AN613" s="130"/>
      <c r="AO613" s="130"/>
      <c r="AP613" s="130"/>
      <c r="AQ613" s="130"/>
      <c r="AR613" s="130"/>
      <c r="AS613" s="130"/>
      <c r="BC613" s="250"/>
      <c r="BE613" s="119"/>
    </row>
    <row r="614" spans="34:57" ht="14.15" customHeight="1" x14ac:dyDescent="0.35">
      <c r="AH614" s="114"/>
      <c r="AI614" s="114"/>
      <c r="AJ614" s="130"/>
      <c r="AK614" s="130"/>
      <c r="AL614" s="130"/>
      <c r="AM614" s="130"/>
      <c r="AN614" s="130"/>
      <c r="AO614" s="130"/>
      <c r="AP614" s="130"/>
      <c r="AQ614" s="130"/>
      <c r="AR614" s="130"/>
      <c r="AS614" s="130"/>
      <c r="BC614" s="250"/>
      <c r="BE614" s="119"/>
    </row>
    <row r="615" spans="34:57" ht="14.15" customHeight="1" x14ac:dyDescent="0.35">
      <c r="AH615" s="114"/>
      <c r="AI615" s="114"/>
      <c r="AJ615" s="130"/>
      <c r="AK615" s="130"/>
      <c r="AL615" s="130"/>
      <c r="AM615" s="130"/>
      <c r="AN615" s="130"/>
      <c r="AO615" s="130"/>
      <c r="AP615" s="130"/>
      <c r="AQ615" s="130"/>
      <c r="AR615" s="130"/>
      <c r="AS615" s="130"/>
      <c r="BC615" s="250"/>
      <c r="BE615" s="119"/>
    </row>
    <row r="616" spans="34:57" ht="14.15" customHeight="1" x14ac:dyDescent="0.35">
      <c r="AH616" s="114"/>
      <c r="AI616" s="114"/>
      <c r="AJ616" s="130"/>
      <c r="AK616" s="130"/>
      <c r="AL616" s="130"/>
      <c r="AM616" s="130"/>
      <c r="AN616" s="130"/>
      <c r="AO616" s="130"/>
      <c r="AP616" s="130"/>
      <c r="AQ616" s="130"/>
      <c r="AR616" s="130"/>
      <c r="AS616" s="130"/>
      <c r="BC616" s="250"/>
      <c r="BE616" s="119"/>
    </row>
    <row r="617" spans="34:57" ht="14.15" customHeight="1" x14ac:dyDescent="0.35">
      <c r="AH617" s="114"/>
      <c r="AI617" s="114"/>
      <c r="AJ617" s="130"/>
      <c r="AK617" s="130"/>
      <c r="AL617" s="130"/>
      <c r="AM617" s="130"/>
      <c r="AN617" s="130"/>
      <c r="AO617" s="130"/>
      <c r="AP617" s="130"/>
      <c r="AQ617" s="130"/>
      <c r="AR617" s="130"/>
      <c r="AS617" s="130"/>
      <c r="BC617" s="250"/>
      <c r="BE617" s="119"/>
    </row>
    <row r="618" spans="34:57" ht="14.15" customHeight="1" x14ac:dyDescent="0.35">
      <c r="AH618" s="114"/>
      <c r="AI618" s="114"/>
      <c r="AJ618" s="130"/>
      <c r="AK618" s="130"/>
      <c r="AL618" s="130"/>
      <c r="AM618" s="130"/>
      <c r="AN618" s="130"/>
      <c r="AO618" s="130"/>
      <c r="AP618" s="130"/>
      <c r="AQ618" s="130"/>
      <c r="AR618" s="130"/>
      <c r="AS618" s="130"/>
      <c r="BC618" s="250"/>
      <c r="BE618" s="119"/>
    </row>
    <row r="619" spans="34:57" ht="14.15" customHeight="1" x14ac:dyDescent="0.35">
      <c r="AH619" s="114"/>
      <c r="AI619" s="114"/>
      <c r="AJ619" s="130"/>
      <c r="AK619" s="130"/>
      <c r="AL619" s="130"/>
      <c r="AM619" s="130"/>
      <c r="AN619" s="130"/>
      <c r="AO619" s="130"/>
      <c r="AP619" s="130"/>
      <c r="AQ619" s="130"/>
      <c r="AR619" s="130"/>
      <c r="AS619" s="130"/>
      <c r="BC619" s="250"/>
      <c r="BE619" s="119"/>
    </row>
    <row r="620" spans="34:57" ht="14.15" customHeight="1" x14ac:dyDescent="0.35">
      <c r="AH620" s="114"/>
      <c r="AI620" s="114"/>
      <c r="AJ620" s="130"/>
      <c r="AK620" s="130"/>
      <c r="AL620" s="130"/>
      <c r="AM620" s="130"/>
      <c r="AN620" s="130"/>
      <c r="AO620" s="130"/>
      <c r="AP620" s="130"/>
      <c r="AQ620" s="130"/>
      <c r="AR620" s="130"/>
      <c r="AS620" s="130"/>
      <c r="BC620" s="250"/>
      <c r="BE620" s="119"/>
    </row>
    <row r="621" spans="34:57" ht="14.15" customHeight="1" x14ac:dyDescent="0.35">
      <c r="AH621" s="114"/>
      <c r="AI621" s="114"/>
      <c r="AJ621" s="130"/>
      <c r="AK621" s="130"/>
      <c r="AL621" s="130"/>
      <c r="AM621" s="130"/>
      <c r="AN621" s="130"/>
      <c r="AO621" s="130"/>
      <c r="AP621" s="130"/>
      <c r="AQ621" s="130"/>
      <c r="AR621" s="130"/>
      <c r="AS621" s="130"/>
      <c r="BC621" s="250"/>
      <c r="BE621" s="119"/>
    </row>
    <row r="622" spans="34:57" ht="14.15" customHeight="1" x14ac:dyDescent="0.35">
      <c r="AH622" s="114"/>
      <c r="AI622" s="114"/>
      <c r="AJ622" s="130"/>
      <c r="AK622" s="130"/>
      <c r="AL622" s="130"/>
      <c r="AM622" s="130"/>
      <c r="AN622" s="130"/>
      <c r="AO622" s="130"/>
      <c r="AP622" s="130"/>
      <c r="AQ622" s="130"/>
      <c r="AR622" s="130"/>
      <c r="AS622" s="130"/>
      <c r="BC622" s="250"/>
      <c r="BE622" s="119"/>
    </row>
    <row r="623" spans="34:57" ht="14.15" customHeight="1" x14ac:dyDescent="0.35">
      <c r="AH623" s="114"/>
      <c r="AI623" s="114"/>
      <c r="AJ623" s="130"/>
      <c r="AK623" s="130"/>
      <c r="AL623" s="130"/>
      <c r="AM623" s="130"/>
      <c r="AN623" s="130"/>
      <c r="AO623" s="130"/>
      <c r="AP623" s="130"/>
      <c r="AQ623" s="130"/>
      <c r="AR623" s="130"/>
      <c r="AS623" s="130"/>
      <c r="BC623" s="250"/>
      <c r="BE623" s="119"/>
    </row>
    <row r="624" spans="34:57" ht="14.15" customHeight="1" x14ac:dyDescent="0.35">
      <c r="AH624" s="114"/>
      <c r="AI624" s="114"/>
      <c r="AJ624" s="130"/>
      <c r="AK624" s="130"/>
      <c r="AL624" s="130"/>
      <c r="AM624" s="130"/>
      <c r="AN624" s="130"/>
      <c r="AO624" s="130"/>
      <c r="AP624" s="130"/>
      <c r="AQ624" s="130"/>
      <c r="AR624" s="130"/>
      <c r="AS624" s="130"/>
      <c r="BC624" s="250"/>
      <c r="BE624" s="119"/>
    </row>
    <row r="625" spans="34:57" ht="14.15" customHeight="1" x14ac:dyDescent="0.35">
      <c r="AH625" s="114"/>
      <c r="AI625" s="114"/>
      <c r="AJ625" s="130"/>
      <c r="AK625" s="130"/>
      <c r="AL625" s="130"/>
      <c r="AM625" s="130"/>
      <c r="AN625" s="130"/>
      <c r="AO625" s="130"/>
      <c r="AP625" s="130"/>
      <c r="AQ625" s="130"/>
      <c r="AR625" s="130"/>
      <c r="AS625" s="130"/>
      <c r="BC625" s="250"/>
      <c r="BE625" s="119"/>
    </row>
    <row r="626" spans="34:57" ht="14.15" customHeight="1" x14ac:dyDescent="0.35">
      <c r="AH626" s="114"/>
      <c r="AI626" s="114"/>
      <c r="AJ626" s="130"/>
      <c r="AK626" s="130"/>
      <c r="AL626" s="130"/>
      <c r="AM626" s="130"/>
      <c r="AN626" s="130"/>
      <c r="AO626" s="130"/>
      <c r="AP626" s="130"/>
      <c r="AQ626" s="130"/>
      <c r="AR626" s="130"/>
      <c r="AS626" s="130"/>
      <c r="BC626" s="250"/>
      <c r="BE626" s="119"/>
    </row>
    <row r="627" spans="34:57" ht="14.15" customHeight="1" x14ac:dyDescent="0.35">
      <c r="AH627" s="114"/>
      <c r="AI627" s="114"/>
      <c r="AJ627" s="130"/>
      <c r="AK627" s="130"/>
      <c r="AL627" s="130"/>
      <c r="AM627" s="130"/>
      <c r="AN627" s="130"/>
      <c r="AO627" s="130"/>
      <c r="AP627" s="130"/>
      <c r="AQ627" s="130"/>
      <c r="AR627" s="130"/>
      <c r="AS627" s="130"/>
      <c r="BC627" s="250"/>
      <c r="BE627" s="119"/>
    </row>
    <row r="628" spans="34:57" ht="14.15" customHeight="1" x14ac:dyDescent="0.35">
      <c r="AH628" s="114"/>
      <c r="AI628" s="114"/>
      <c r="AJ628" s="130"/>
      <c r="AK628" s="130"/>
      <c r="AL628" s="130"/>
      <c r="AM628" s="130"/>
      <c r="AN628" s="130"/>
      <c r="AO628" s="130"/>
      <c r="AP628" s="130"/>
      <c r="AQ628" s="130"/>
      <c r="AR628" s="130"/>
      <c r="AS628" s="130"/>
      <c r="BC628" s="250"/>
      <c r="BE628" s="119"/>
    </row>
    <row r="629" spans="34:57" ht="14.15" customHeight="1" x14ac:dyDescent="0.35">
      <c r="AH629" s="114"/>
      <c r="AI629" s="114"/>
      <c r="AJ629" s="130"/>
      <c r="AK629" s="130"/>
      <c r="AL629" s="130"/>
      <c r="AM629" s="130"/>
      <c r="AN629" s="130"/>
      <c r="AO629" s="130"/>
      <c r="AP629" s="130"/>
      <c r="AQ629" s="130"/>
      <c r="AR629" s="130"/>
      <c r="AS629" s="130"/>
      <c r="BC629" s="250"/>
      <c r="BE629" s="119"/>
    </row>
    <row r="630" spans="34:57" ht="14.15" customHeight="1" x14ac:dyDescent="0.35">
      <c r="AH630" s="114"/>
      <c r="AI630" s="114"/>
      <c r="AJ630" s="130"/>
      <c r="AK630" s="130"/>
      <c r="AL630" s="130"/>
      <c r="AM630" s="130"/>
      <c r="AN630" s="130"/>
      <c r="AO630" s="130"/>
      <c r="AP630" s="130"/>
      <c r="AQ630" s="130"/>
      <c r="AR630" s="130"/>
      <c r="AS630" s="130"/>
      <c r="BC630" s="250"/>
      <c r="BE630" s="119"/>
    </row>
    <row r="631" spans="34:57" ht="14.15" customHeight="1" x14ac:dyDescent="0.35">
      <c r="AH631" s="114"/>
      <c r="AI631" s="114"/>
      <c r="AJ631" s="130"/>
      <c r="AK631" s="130"/>
      <c r="AL631" s="130"/>
      <c r="AM631" s="130"/>
      <c r="AN631" s="130"/>
      <c r="AO631" s="130"/>
      <c r="AP631" s="130"/>
      <c r="AQ631" s="130"/>
      <c r="AR631" s="130"/>
      <c r="AS631" s="130"/>
      <c r="BC631" s="250"/>
      <c r="BE631" s="119"/>
    </row>
    <row r="632" spans="34:57" ht="14.15" customHeight="1" x14ac:dyDescent="0.35">
      <c r="AH632" s="114"/>
      <c r="AI632" s="114"/>
      <c r="AJ632" s="130"/>
      <c r="AK632" s="130"/>
      <c r="AL632" s="130"/>
      <c r="AM632" s="130"/>
      <c r="AN632" s="130"/>
      <c r="AO632" s="130"/>
      <c r="AP632" s="130"/>
      <c r="AQ632" s="130"/>
      <c r="AR632" s="130"/>
      <c r="AS632" s="130"/>
      <c r="BC632" s="250"/>
      <c r="BE632" s="119"/>
    </row>
    <row r="633" spans="34:57" ht="14.15" customHeight="1" x14ac:dyDescent="0.35">
      <c r="AH633" s="114"/>
      <c r="AI633" s="114"/>
      <c r="AJ633" s="130"/>
      <c r="AK633" s="130"/>
      <c r="AL633" s="130"/>
      <c r="AM633" s="130"/>
      <c r="AN633" s="130"/>
      <c r="AO633" s="130"/>
      <c r="AP633" s="130"/>
      <c r="AQ633" s="130"/>
      <c r="AR633" s="130"/>
      <c r="AS633" s="130"/>
      <c r="BC633" s="250"/>
      <c r="BE633" s="119"/>
    </row>
    <row r="634" spans="34:57" ht="14.15" customHeight="1" x14ac:dyDescent="0.35">
      <c r="AH634" s="114"/>
      <c r="AI634" s="114"/>
      <c r="AJ634" s="130"/>
      <c r="AK634" s="130"/>
      <c r="AL634" s="130"/>
      <c r="AM634" s="130"/>
      <c r="AN634" s="130"/>
      <c r="AO634" s="130"/>
      <c r="AP634" s="130"/>
      <c r="AQ634" s="130"/>
      <c r="AR634" s="130"/>
      <c r="AS634" s="130"/>
      <c r="BC634" s="250"/>
      <c r="BE634" s="119"/>
    </row>
    <row r="635" spans="34:57" ht="14.15" customHeight="1" x14ac:dyDescent="0.35">
      <c r="AH635" s="114"/>
      <c r="AI635" s="114"/>
      <c r="AJ635" s="130"/>
      <c r="AK635" s="130"/>
      <c r="AL635" s="130"/>
      <c r="AM635" s="130"/>
      <c r="AN635" s="130"/>
      <c r="AO635" s="130"/>
      <c r="AP635" s="130"/>
      <c r="AQ635" s="130"/>
      <c r="AR635" s="130"/>
      <c r="AS635" s="130"/>
      <c r="BC635" s="250"/>
      <c r="BE635" s="119"/>
    </row>
    <row r="636" spans="34:57" ht="14.15" customHeight="1" x14ac:dyDescent="0.35">
      <c r="AH636" s="114"/>
      <c r="AI636" s="114"/>
      <c r="AJ636" s="130"/>
      <c r="AK636" s="130"/>
      <c r="AL636" s="130"/>
      <c r="AM636" s="130"/>
      <c r="AN636" s="130"/>
      <c r="AO636" s="130"/>
      <c r="AP636" s="130"/>
      <c r="AQ636" s="130"/>
      <c r="AR636" s="130"/>
      <c r="AS636" s="130"/>
      <c r="BC636" s="250"/>
      <c r="BE636" s="119"/>
    </row>
    <row r="637" spans="34:57" ht="14.15" customHeight="1" x14ac:dyDescent="0.35">
      <c r="AH637" s="114"/>
      <c r="AI637" s="114"/>
      <c r="AJ637" s="130"/>
      <c r="AK637" s="130"/>
      <c r="AL637" s="130"/>
      <c r="AM637" s="130"/>
      <c r="AN637" s="130"/>
      <c r="AO637" s="130"/>
      <c r="AP637" s="130"/>
      <c r="AQ637" s="130"/>
      <c r="AR637" s="130"/>
      <c r="AS637" s="130"/>
      <c r="BC637" s="250"/>
      <c r="BE637" s="119"/>
    </row>
    <row r="638" spans="34:57" ht="14.15" customHeight="1" x14ac:dyDescent="0.35">
      <c r="AH638" s="114"/>
      <c r="AI638" s="114"/>
      <c r="AJ638" s="130"/>
      <c r="AK638" s="130"/>
      <c r="AL638" s="130"/>
      <c r="AM638" s="130"/>
      <c r="AN638" s="130"/>
      <c r="AO638" s="130"/>
      <c r="AP638" s="130"/>
      <c r="AQ638" s="130"/>
      <c r="AR638" s="130"/>
      <c r="AS638" s="130"/>
      <c r="BC638" s="250"/>
      <c r="BE638" s="119"/>
    </row>
    <row r="639" spans="34:57" ht="14.15" customHeight="1" x14ac:dyDescent="0.35">
      <c r="AH639" s="114"/>
      <c r="AI639" s="114"/>
      <c r="AJ639" s="130"/>
      <c r="AK639" s="130"/>
      <c r="AL639" s="130"/>
      <c r="AM639" s="130"/>
      <c r="AN639" s="130"/>
      <c r="AO639" s="130"/>
      <c r="AP639" s="130"/>
      <c r="AQ639" s="130"/>
      <c r="AR639" s="130"/>
      <c r="AS639" s="130"/>
      <c r="BC639" s="250"/>
      <c r="BE639" s="119"/>
    </row>
    <row r="640" spans="34:57" ht="14.15" customHeight="1" x14ac:dyDescent="0.35">
      <c r="AH640" s="114"/>
      <c r="AI640" s="114"/>
      <c r="AJ640" s="130"/>
      <c r="AK640" s="130"/>
      <c r="AL640" s="130"/>
      <c r="AM640" s="130"/>
      <c r="AN640" s="130"/>
      <c r="AO640" s="130"/>
      <c r="AP640" s="130"/>
      <c r="AQ640" s="130"/>
      <c r="AR640" s="130"/>
      <c r="AS640" s="130"/>
      <c r="BC640" s="250"/>
      <c r="BE640" s="119"/>
    </row>
    <row r="641" spans="34:57" ht="14.15" customHeight="1" x14ac:dyDescent="0.35">
      <c r="AH641" s="114"/>
      <c r="AI641" s="114"/>
      <c r="AJ641" s="130"/>
      <c r="AK641" s="130"/>
      <c r="AL641" s="130"/>
      <c r="AM641" s="130"/>
      <c r="AN641" s="130"/>
      <c r="AO641" s="130"/>
      <c r="AP641" s="130"/>
      <c r="AQ641" s="130"/>
      <c r="AR641" s="130"/>
      <c r="AS641" s="130"/>
      <c r="BC641" s="250"/>
      <c r="BE641" s="119"/>
    </row>
    <row r="642" spans="34:57" ht="14.15" customHeight="1" x14ac:dyDescent="0.35">
      <c r="AH642" s="114"/>
      <c r="AI642" s="114"/>
      <c r="AJ642" s="130"/>
      <c r="AK642" s="130"/>
      <c r="AL642" s="130"/>
      <c r="AM642" s="130"/>
      <c r="AN642" s="130"/>
      <c r="AO642" s="130"/>
      <c r="AP642" s="130"/>
      <c r="AQ642" s="130"/>
      <c r="AR642" s="130"/>
      <c r="AS642" s="130"/>
      <c r="BC642" s="250"/>
      <c r="BE642" s="119"/>
    </row>
    <row r="643" spans="34:57" ht="14.15" customHeight="1" x14ac:dyDescent="0.35">
      <c r="AH643" s="114"/>
      <c r="AI643" s="114"/>
      <c r="AJ643" s="130"/>
      <c r="AK643" s="130"/>
      <c r="AL643" s="130"/>
      <c r="AM643" s="130"/>
      <c r="AN643" s="130"/>
      <c r="AO643" s="130"/>
      <c r="AP643" s="130"/>
      <c r="AQ643" s="130"/>
      <c r="AR643" s="130"/>
      <c r="AS643" s="130"/>
      <c r="BC643" s="250"/>
      <c r="BE643" s="119"/>
    </row>
    <row r="644" spans="34:57" ht="14.15" customHeight="1" x14ac:dyDescent="0.35">
      <c r="AH644" s="114"/>
      <c r="AI644" s="114"/>
      <c r="AJ644" s="130"/>
      <c r="AK644" s="130"/>
      <c r="AL644" s="130"/>
      <c r="AM644" s="130"/>
      <c r="AN644" s="130"/>
      <c r="AO644" s="130"/>
      <c r="AP644" s="130"/>
      <c r="AQ644" s="130"/>
      <c r="AR644" s="130"/>
      <c r="AS644" s="130"/>
      <c r="BC644" s="250"/>
      <c r="BE644" s="119"/>
    </row>
    <row r="645" spans="34:57" ht="14.15" customHeight="1" x14ac:dyDescent="0.35">
      <c r="AH645" s="114"/>
      <c r="AI645" s="114"/>
      <c r="AJ645" s="130"/>
      <c r="AK645" s="130"/>
      <c r="AL645" s="130"/>
      <c r="AM645" s="130"/>
      <c r="AN645" s="130"/>
      <c r="AO645" s="130"/>
      <c r="AP645" s="130"/>
      <c r="AQ645" s="130"/>
      <c r="AR645" s="130"/>
      <c r="AS645" s="130"/>
      <c r="BC645" s="250"/>
      <c r="BE645" s="119"/>
    </row>
    <row r="646" spans="34:57" ht="14.15" customHeight="1" x14ac:dyDescent="0.35">
      <c r="AH646" s="114"/>
      <c r="AI646" s="114"/>
      <c r="AJ646" s="130"/>
      <c r="AK646" s="130"/>
      <c r="AL646" s="130"/>
      <c r="AM646" s="130"/>
      <c r="AN646" s="130"/>
      <c r="AO646" s="130"/>
      <c r="AP646" s="130"/>
      <c r="AQ646" s="130"/>
      <c r="AR646" s="130"/>
      <c r="AS646" s="130"/>
      <c r="BC646" s="250"/>
      <c r="BE646" s="119"/>
    </row>
    <row r="647" spans="34:57" ht="14.15" customHeight="1" x14ac:dyDescent="0.35">
      <c r="AH647" s="114"/>
      <c r="AI647" s="114"/>
      <c r="AJ647" s="130"/>
      <c r="AK647" s="130"/>
      <c r="AL647" s="130"/>
      <c r="AM647" s="130"/>
      <c r="AN647" s="130"/>
      <c r="AO647" s="130"/>
      <c r="AP647" s="130"/>
      <c r="AQ647" s="130"/>
      <c r="AR647" s="130"/>
      <c r="AS647" s="130"/>
      <c r="BC647" s="250"/>
      <c r="BE647" s="119"/>
    </row>
    <row r="648" spans="34:57" ht="14.15" customHeight="1" x14ac:dyDescent="0.35">
      <c r="AH648" s="114"/>
      <c r="AI648" s="114"/>
      <c r="AJ648" s="130"/>
      <c r="AK648" s="130"/>
      <c r="AL648" s="130"/>
      <c r="AM648" s="130"/>
      <c r="AN648" s="130"/>
      <c r="AO648" s="130"/>
      <c r="AP648" s="130"/>
      <c r="AQ648" s="130"/>
      <c r="AR648" s="130"/>
      <c r="AS648" s="130"/>
      <c r="BC648" s="250"/>
      <c r="BE648" s="119"/>
    </row>
    <row r="649" spans="34:57" ht="14.15" customHeight="1" x14ac:dyDescent="0.35">
      <c r="AH649" s="114"/>
      <c r="AI649" s="114"/>
      <c r="AJ649" s="130"/>
      <c r="AK649" s="130"/>
      <c r="AL649" s="130"/>
      <c r="AM649" s="130"/>
      <c r="AN649" s="130"/>
      <c r="AO649" s="130"/>
      <c r="AP649" s="130"/>
      <c r="AQ649" s="130"/>
      <c r="AR649" s="130"/>
      <c r="AS649" s="130"/>
      <c r="BC649" s="250"/>
      <c r="BE649" s="119"/>
    </row>
    <row r="650" spans="34:57" ht="14.15" customHeight="1" x14ac:dyDescent="0.35">
      <c r="AH650" s="114"/>
      <c r="AI650" s="114"/>
      <c r="AJ650" s="130"/>
      <c r="AK650" s="130"/>
      <c r="AL650" s="130"/>
      <c r="AM650" s="130"/>
      <c r="AN650" s="130"/>
      <c r="AO650" s="130"/>
      <c r="AP650" s="130"/>
      <c r="AQ650" s="130"/>
      <c r="AR650" s="130"/>
      <c r="AS650" s="130"/>
      <c r="BC650" s="250"/>
      <c r="BE650" s="119"/>
    </row>
    <row r="651" spans="34:57" ht="14.15" customHeight="1" x14ac:dyDescent="0.35">
      <c r="AH651" s="114"/>
      <c r="AI651" s="114"/>
      <c r="AJ651" s="130"/>
      <c r="AK651" s="130"/>
      <c r="AL651" s="130"/>
      <c r="AM651" s="130"/>
      <c r="AN651" s="130"/>
      <c r="AO651" s="130"/>
      <c r="AP651" s="130"/>
      <c r="AQ651" s="130"/>
      <c r="AR651" s="130"/>
      <c r="AS651" s="130"/>
      <c r="BC651" s="250"/>
      <c r="BE651" s="119"/>
    </row>
    <row r="652" spans="34:57" ht="14.15" customHeight="1" x14ac:dyDescent="0.35">
      <c r="AH652" s="114"/>
      <c r="AI652" s="114"/>
      <c r="AJ652" s="130"/>
      <c r="AK652" s="130"/>
      <c r="AL652" s="130"/>
      <c r="AM652" s="130"/>
      <c r="AN652" s="130"/>
      <c r="AO652" s="130"/>
      <c r="AP652" s="130"/>
      <c r="AQ652" s="130"/>
      <c r="AR652" s="130"/>
      <c r="AS652" s="130"/>
      <c r="BC652" s="250"/>
      <c r="BE652" s="119"/>
    </row>
    <row r="653" spans="34:57" ht="14.15" customHeight="1" x14ac:dyDescent="0.35">
      <c r="AH653" s="114"/>
      <c r="AI653" s="114"/>
      <c r="AJ653" s="130"/>
      <c r="AK653" s="130"/>
      <c r="AL653" s="130"/>
      <c r="AM653" s="130"/>
      <c r="AN653" s="130"/>
      <c r="AO653" s="130"/>
      <c r="AP653" s="130"/>
      <c r="AQ653" s="130"/>
      <c r="AR653" s="130"/>
      <c r="AS653" s="130"/>
      <c r="BC653" s="250"/>
      <c r="BE653" s="119"/>
    </row>
    <row r="654" spans="34:57" ht="14.15" customHeight="1" x14ac:dyDescent="0.35">
      <c r="AH654" s="114"/>
      <c r="AI654" s="114"/>
      <c r="AJ654" s="130"/>
      <c r="AK654" s="130"/>
      <c r="AL654" s="130"/>
      <c r="AM654" s="130"/>
      <c r="AN654" s="130"/>
      <c r="AO654" s="130"/>
      <c r="AP654" s="130"/>
      <c r="AQ654" s="130"/>
      <c r="AR654" s="130"/>
      <c r="AS654" s="130"/>
      <c r="BC654" s="250"/>
      <c r="BE654" s="119"/>
    </row>
    <row r="655" spans="34:57" ht="14.15" customHeight="1" x14ac:dyDescent="0.35">
      <c r="AH655" s="114"/>
      <c r="AI655" s="114"/>
      <c r="AJ655" s="130"/>
      <c r="AK655" s="130"/>
      <c r="AL655" s="130"/>
      <c r="AM655" s="130"/>
      <c r="AN655" s="130"/>
      <c r="AO655" s="130"/>
      <c r="AP655" s="130"/>
      <c r="AQ655" s="130"/>
      <c r="AR655" s="130"/>
      <c r="AS655" s="130"/>
      <c r="BC655" s="250"/>
      <c r="BE655" s="119"/>
    </row>
    <row r="656" spans="34:57" ht="14.15" customHeight="1" x14ac:dyDescent="0.35">
      <c r="AH656" s="114"/>
      <c r="AI656" s="114"/>
      <c r="AJ656" s="130"/>
      <c r="AK656" s="130"/>
      <c r="AL656" s="130"/>
      <c r="AM656" s="130"/>
      <c r="AN656" s="130"/>
      <c r="AO656" s="130"/>
      <c r="AP656" s="130"/>
      <c r="AQ656" s="130"/>
      <c r="AR656" s="130"/>
      <c r="AS656" s="130"/>
      <c r="BC656" s="250"/>
      <c r="BE656" s="119"/>
    </row>
    <row r="657" spans="34:57" ht="14.15" customHeight="1" x14ac:dyDescent="0.35">
      <c r="AH657" s="114"/>
      <c r="AI657" s="114"/>
      <c r="AJ657" s="130"/>
      <c r="AK657" s="130"/>
      <c r="AL657" s="130"/>
      <c r="AM657" s="130"/>
      <c r="AN657" s="130"/>
      <c r="AO657" s="130"/>
      <c r="AP657" s="130"/>
      <c r="AQ657" s="130"/>
      <c r="AR657" s="130"/>
      <c r="AS657" s="130"/>
      <c r="BC657" s="250"/>
      <c r="BE657" s="119"/>
    </row>
    <row r="658" spans="34:57" ht="14.15" customHeight="1" x14ac:dyDescent="0.35">
      <c r="AH658" s="114"/>
      <c r="AI658" s="114"/>
      <c r="AJ658" s="130"/>
      <c r="AK658" s="130"/>
      <c r="AL658" s="130"/>
      <c r="AM658" s="130"/>
      <c r="AN658" s="130"/>
      <c r="AO658" s="130"/>
      <c r="AP658" s="130"/>
      <c r="AQ658" s="130"/>
      <c r="AR658" s="130"/>
      <c r="AS658" s="130"/>
      <c r="BC658" s="250"/>
      <c r="BE658" s="119"/>
    </row>
    <row r="659" spans="34:57" ht="14.15" customHeight="1" x14ac:dyDescent="0.35">
      <c r="AH659" s="114"/>
      <c r="AI659" s="114"/>
      <c r="AJ659" s="130"/>
      <c r="AK659" s="130"/>
      <c r="AL659" s="130"/>
      <c r="AM659" s="130"/>
      <c r="AN659" s="130"/>
      <c r="AO659" s="130"/>
      <c r="AP659" s="130"/>
      <c r="AQ659" s="130"/>
      <c r="AR659" s="130"/>
      <c r="AS659" s="130"/>
      <c r="BC659" s="250"/>
      <c r="BE659" s="119"/>
    </row>
    <row r="660" spans="34:57" ht="14.15" customHeight="1" x14ac:dyDescent="0.35">
      <c r="AH660" s="114"/>
      <c r="AI660" s="114"/>
      <c r="AJ660" s="130"/>
      <c r="AK660" s="130"/>
      <c r="AL660" s="130"/>
      <c r="AM660" s="130"/>
      <c r="AN660" s="130"/>
      <c r="AO660" s="130"/>
      <c r="AP660" s="130"/>
      <c r="AQ660" s="130"/>
      <c r="AR660" s="130"/>
      <c r="AS660" s="130"/>
      <c r="BC660" s="250"/>
      <c r="BE660" s="119"/>
    </row>
    <row r="661" spans="34:57" ht="14.15" customHeight="1" x14ac:dyDescent="0.35">
      <c r="AH661" s="114"/>
      <c r="AI661" s="114"/>
      <c r="AJ661" s="130"/>
      <c r="AK661" s="130"/>
      <c r="AL661" s="130"/>
      <c r="AM661" s="130"/>
      <c r="AN661" s="130"/>
      <c r="AO661" s="130"/>
      <c r="AP661" s="130"/>
      <c r="AQ661" s="130"/>
      <c r="AR661" s="130"/>
      <c r="AS661" s="130"/>
      <c r="BC661" s="250"/>
      <c r="BE661" s="119"/>
    </row>
    <row r="662" spans="34:57" ht="14.15" customHeight="1" x14ac:dyDescent="0.35">
      <c r="AH662" s="114"/>
      <c r="AI662" s="114"/>
      <c r="AJ662" s="130"/>
      <c r="AK662" s="130"/>
      <c r="AL662" s="130"/>
      <c r="AM662" s="130"/>
      <c r="AN662" s="130"/>
      <c r="AO662" s="130"/>
      <c r="AP662" s="130"/>
      <c r="AQ662" s="130"/>
      <c r="AR662" s="130"/>
      <c r="AS662" s="130"/>
      <c r="BC662" s="250"/>
      <c r="BE662" s="119"/>
    </row>
    <row r="663" spans="34:57" ht="14.15" customHeight="1" x14ac:dyDescent="0.35">
      <c r="AH663" s="114"/>
      <c r="AI663" s="114"/>
      <c r="AJ663" s="130"/>
      <c r="AK663" s="130"/>
      <c r="AL663" s="130"/>
      <c r="AM663" s="130"/>
      <c r="AN663" s="130"/>
      <c r="AO663" s="130"/>
      <c r="AP663" s="130"/>
      <c r="AQ663" s="130"/>
      <c r="AR663" s="130"/>
      <c r="AS663" s="130"/>
      <c r="BC663" s="250"/>
      <c r="BE663" s="119"/>
    </row>
    <row r="664" spans="34:57" ht="14.15" customHeight="1" x14ac:dyDescent="0.35">
      <c r="AH664" s="114"/>
      <c r="AI664" s="114"/>
      <c r="AJ664" s="130"/>
      <c r="AK664" s="130"/>
      <c r="AL664" s="130"/>
      <c r="AM664" s="130"/>
      <c r="AN664" s="130"/>
      <c r="AO664" s="130"/>
      <c r="AP664" s="130"/>
      <c r="AQ664" s="130"/>
      <c r="AR664" s="130"/>
      <c r="AS664" s="130"/>
      <c r="BC664" s="250"/>
      <c r="BE664" s="119"/>
    </row>
    <row r="665" spans="34:57" ht="14.15" customHeight="1" x14ac:dyDescent="0.35">
      <c r="AH665" s="114"/>
      <c r="AI665" s="114"/>
      <c r="AJ665" s="130"/>
      <c r="AK665" s="130"/>
      <c r="AL665" s="130"/>
      <c r="AM665" s="130"/>
      <c r="AN665" s="130"/>
      <c r="AO665" s="130"/>
      <c r="AP665" s="130"/>
      <c r="AQ665" s="130"/>
      <c r="AR665" s="130"/>
      <c r="AS665" s="130"/>
      <c r="BC665" s="250"/>
      <c r="BE665" s="119"/>
    </row>
    <row r="666" spans="34:57" ht="14.15" customHeight="1" x14ac:dyDescent="0.35">
      <c r="AH666" s="114"/>
      <c r="AI666" s="114"/>
      <c r="AJ666" s="130"/>
      <c r="AK666" s="130"/>
      <c r="AL666" s="130"/>
      <c r="AM666" s="130"/>
      <c r="AN666" s="130"/>
      <c r="AO666" s="130"/>
      <c r="AP666" s="130"/>
      <c r="AQ666" s="130"/>
      <c r="AR666" s="130"/>
      <c r="AS666" s="130"/>
      <c r="BC666" s="250"/>
      <c r="BE666" s="119"/>
    </row>
    <row r="667" spans="34:57" ht="14.15" customHeight="1" x14ac:dyDescent="0.35">
      <c r="AH667" s="114"/>
      <c r="AI667" s="114"/>
      <c r="AJ667" s="130"/>
      <c r="AK667" s="130"/>
      <c r="AL667" s="130"/>
      <c r="AM667" s="130"/>
      <c r="AN667" s="130"/>
      <c r="AO667" s="130"/>
      <c r="AP667" s="130"/>
      <c r="AQ667" s="130"/>
      <c r="AR667" s="130"/>
      <c r="AS667" s="130"/>
      <c r="BC667" s="250"/>
      <c r="BE667" s="119"/>
    </row>
    <row r="668" spans="34:57" ht="14.15" customHeight="1" x14ac:dyDescent="0.35">
      <c r="AH668" s="114"/>
      <c r="AI668" s="114"/>
      <c r="AJ668" s="130"/>
      <c r="AK668" s="130"/>
      <c r="AL668" s="130"/>
      <c r="AM668" s="130"/>
      <c r="AN668" s="130"/>
      <c r="AO668" s="130"/>
      <c r="AP668" s="130"/>
      <c r="AQ668" s="130"/>
      <c r="AR668" s="130"/>
      <c r="AS668" s="130"/>
      <c r="BC668" s="250"/>
      <c r="BE668" s="119"/>
    </row>
    <row r="669" spans="34:57" ht="14.15" customHeight="1" x14ac:dyDescent="0.35">
      <c r="AH669" s="114"/>
      <c r="AI669" s="114"/>
      <c r="AJ669" s="130"/>
      <c r="AK669" s="130"/>
      <c r="AL669" s="130"/>
      <c r="AM669" s="130"/>
      <c r="AN669" s="130"/>
      <c r="AO669" s="130"/>
      <c r="AP669" s="130"/>
      <c r="AQ669" s="130"/>
      <c r="AR669" s="130"/>
      <c r="AS669" s="130"/>
      <c r="BC669" s="250"/>
      <c r="BE669" s="119"/>
    </row>
    <row r="670" spans="34:57" ht="14.15" customHeight="1" x14ac:dyDescent="0.35">
      <c r="AH670" s="114"/>
      <c r="AI670" s="114"/>
      <c r="AJ670" s="130"/>
      <c r="AK670" s="130"/>
      <c r="AL670" s="130"/>
      <c r="AM670" s="130"/>
      <c r="AN670" s="130"/>
      <c r="AO670" s="130"/>
      <c r="AP670" s="130"/>
      <c r="AQ670" s="130"/>
      <c r="AR670" s="130"/>
      <c r="AS670" s="130"/>
      <c r="BC670" s="250"/>
      <c r="BE670" s="119"/>
    </row>
    <row r="671" spans="34:57" ht="14.15" customHeight="1" x14ac:dyDescent="0.35">
      <c r="AH671" s="114"/>
      <c r="AI671" s="114"/>
      <c r="AJ671" s="130"/>
      <c r="AK671" s="130"/>
      <c r="AL671" s="130"/>
      <c r="AM671" s="130"/>
      <c r="AN671" s="130"/>
      <c r="AO671" s="130"/>
      <c r="AP671" s="130"/>
      <c r="AQ671" s="130"/>
      <c r="AR671" s="130"/>
      <c r="AS671" s="130"/>
      <c r="BC671" s="250"/>
      <c r="BE671" s="119"/>
    </row>
    <row r="672" spans="34:57" ht="14.15" customHeight="1" x14ac:dyDescent="0.35">
      <c r="AH672" s="114"/>
      <c r="AI672" s="114"/>
      <c r="AJ672" s="130"/>
      <c r="AK672" s="130"/>
      <c r="AL672" s="130"/>
      <c r="AM672" s="130"/>
      <c r="AN672" s="130"/>
      <c r="AO672" s="130"/>
      <c r="AP672" s="130"/>
      <c r="AQ672" s="130"/>
      <c r="AR672" s="130"/>
      <c r="AS672" s="130"/>
      <c r="BC672" s="250"/>
      <c r="BE672" s="119"/>
    </row>
    <row r="673" spans="34:57" ht="14.15" customHeight="1" x14ac:dyDescent="0.35">
      <c r="AH673" s="114"/>
      <c r="AI673" s="114"/>
      <c r="AJ673" s="130"/>
      <c r="AK673" s="130"/>
      <c r="AL673" s="130"/>
      <c r="AM673" s="130"/>
      <c r="AN673" s="130"/>
      <c r="AO673" s="130"/>
      <c r="AP673" s="130"/>
      <c r="AQ673" s="130"/>
      <c r="AR673" s="130"/>
      <c r="AS673" s="130"/>
      <c r="BC673" s="250"/>
      <c r="BE673" s="119"/>
    </row>
    <row r="674" spans="34:57" ht="14.15" customHeight="1" x14ac:dyDescent="0.35">
      <c r="AH674" s="114"/>
      <c r="AI674" s="114"/>
      <c r="AJ674" s="130"/>
      <c r="AK674" s="130"/>
      <c r="AL674" s="130"/>
      <c r="AM674" s="130"/>
      <c r="AN674" s="130"/>
      <c r="AO674" s="130"/>
      <c r="AP674" s="130"/>
      <c r="AQ674" s="130"/>
      <c r="AR674" s="130"/>
      <c r="AS674" s="130"/>
      <c r="BC674" s="250"/>
      <c r="BE674" s="119"/>
    </row>
    <row r="675" spans="34:57" ht="14.15" customHeight="1" x14ac:dyDescent="0.35">
      <c r="AH675" s="114"/>
      <c r="AI675" s="114"/>
      <c r="AJ675" s="130"/>
      <c r="AK675" s="130"/>
      <c r="AL675" s="130"/>
      <c r="AM675" s="130"/>
      <c r="AN675" s="130"/>
      <c r="AO675" s="130"/>
      <c r="AP675" s="130"/>
      <c r="AQ675" s="130"/>
      <c r="AR675" s="130"/>
      <c r="AS675" s="130"/>
      <c r="BC675" s="250"/>
      <c r="BE675" s="119"/>
    </row>
    <row r="676" spans="34:57" ht="14.15" customHeight="1" x14ac:dyDescent="0.35">
      <c r="AH676" s="114"/>
      <c r="AI676" s="114"/>
      <c r="AJ676" s="130"/>
      <c r="AK676" s="130"/>
      <c r="AL676" s="130"/>
      <c r="AM676" s="130"/>
      <c r="AN676" s="130"/>
      <c r="AO676" s="130"/>
      <c r="AP676" s="130"/>
      <c r="AQ676" s="130"/>
      <c r="AR676" s="130"/>
      <c r="AS676" s="130"/>
      <c r="BC676" s="250"/>
      <c r="BE676" s="119"/>
    </row>
    <row r="677" spans="34:57" ht="14.15" customHeight="1" x14ac:dyDescent="0.35">
      <c r="AH677" s="114"/>
      <c r="AI677" s="114"/>
      <c r="AJ677" s="130"/>
      <c r="AK677" s="130"/>
      <c r="AL677" s="130"/>
      <c r="AM677" s="130"/>
      <c r="AN677" s="130"/>
      <c r="AO677" s="130"/>
      <c r="AP677" s="130"/>
      <c r="AQ677" s="130"/>
      <c r="AR677" s="130"/>
      <c r="AS677" s="130"/>
      <c r="BC677" s="250"/>
      <c r="BE677" s="119"/>
    </row>
    <row r="678" spans="34:57" ht="14.15" customHeight="1" x14ac:dyDescent="0.35">
      <c r="AH678" s="114"/>
      <c r="AI678" s="114"/>
      <c r="AJ678" s="130"/>
      <c r="AK678" s="130"/>
      <c r="AL678" s="130"/>
      <c r="AM678" s="130"/>
      <c r="AN678" s="130"/>
      <c r="AO678" s="130"/>
      <c r="AP678" s="130"/>
      <c r="AQ678" s="130"/>
      <c r="AR678" s="130"/>
      <c r="AS678" s="130"/>
      <c r="BC678" s="250"/>
      <c r="BE678" s="119"/>
    </row>
    <row r="679" spans="34:57" ht="14.15" customHeight="1" x14ac:dyDescent="0.35">
      <c r="AH679" s="114"/>
      <c r="AI679" s="114"/>
      <c r="AJ679" s="130"/>
      <c r="AK679" s="130"/>
      <c r="AL679" s="130"/>
      <c r="AM679" s="130"/>
      <c r="AN679" s="130"/>
      <c r="AO679" s="130"/>
      <c r="AP679" s="130"/>
      <c r="AQ679" s="130"/>
      <c r="AR679" s="130"/>
      <c r="AS679" s="130"/>
      <c r="BC679" s="250"/>
      <c r="BE679" s="119"/>
    </row>
    <row r="680" spans="34:57" ht="14.15" customHeight="1" x14ac:dyDescent="0.35">
      <c r="AH680" s="114"/>
      <c r="AI680" s="114"/>
      <c r="AJ680" s="130"/>
      <c r="AK680" s="130"/>
      <c r="AL680" s="130"/>
      <c r="AM680" s="130"/>
      <c r="AN680" s="130"/>
      <c r="AO680" s="130"/>
      <c r="AP680" s="130"/>
      <c r="AQ680" s="130"/>
      <c r="AR680" s="130"/>
      <c r="AS680" s="130"/>
      <c r="BC680" s="250"/>
      <c r="BE680" s="119"/>
    </row>
    <row r="681" spans="34:57" ht="14.15" customHeight="1" x14ac:dyDescent="0.35">
      <c r="AH681" s="114"/>
      <c r="AI681" s="114"/>
      <c r="AJ681" s="130"/>
      <c r="AK681" s="130"/>
      <c r="AL681" s="130"/>
      <c r="AM681" s="130"/>
      <c r="AN681" s="130"/>
      <c r="AO681" s="130"/>
      <c r="AP681" s="130"/>
      <c r="AQ681" s="130"/>
      <c r="AR681" s="130"/>
      <c r="AS681" s="130"/>
      <c r="BC681" s="250"/>
      <c r="BE681" s="119"/>
    </row>
    <row r="682" spans="34:57" ht="14.15" customHeight="1" x14ac:dyDescent="0.35">
      <c r="AH682" s="114"/>
      <c r="AI682" s="114"/>
      <c r="AJ682" s="130"/>
      <c r="AK682" s="130"/>
      <c r="AL682" s="130"/>
      <c r="AM682" s="130"/>
      <c r="AN682" s="130"/>
      <c r="AO682" s="130"/>
      <c r="AP682" s="130"/>
      <c r="AQ682" s="130"/>
      <c r="AR682" s="130"/>
      <c r="AS682" s="130"/>
      <c r="BC682" s="250"/>
      <c r="BE682" s="119"/>
    </row>
    <row r="683" spans="34:57" ht="14.15" customHeight="1" x14ac:dyDescent="0.35">
      <c r="AH683" s="114"/>
      <c r="AI683" s="114"/>
      <c r="AJ683" s="130"/>
      <c r="AK683" s="130"/>
      <c r="AL683" s="130"/>
      <c r="AM683" s="130"/>
      <c r="AN683" s="130"/>
      <c r="AO683" s="130"/>
      <c r="AP683" s="130"/>
      <c r="AQ683" s="130"/>
      <c r="AR683" s="130"/>
      <c r="AS683" s="130"/>
      <c r="BC683" s="250"/>
      <c r="BE683" s="119"/>
    </row>
    <row r="684" spans="34:57" ht="14.15" customHeight="1" x14ac:dyDescent="0.35">
      <c r="AH684" s="114"/>
      <c r="AI684" s="114"/>
      <c r="AJ684" s="130"/>
      <c r="AK684" s="130"/>
      <c r="AL684" s="130"/>
      <c r="AM684" s="130"/>
      <c r="AN684" s="130"/>
      <c r="AO684" s="130"/>
      <c r="AP684" s="130"/>
      <c r="AQ684" s="130"/>
      <c r="AR684" s="130"/>
      <c r="AS684" s="130"/>
      <c r="BC684" s="250"/>
      <c r="BE684" s="119"/>
    </row>
    <row r="685" spans="34:57" ht="14.15" customHeight="1" x14ac:dyDescent="0.35">
      <c r="AH685" s="114"/>
      <c r="AI685" s="114"/>
      <c r="AJ685" s="130"/>
      <c r="AK685" s="130"/>
      <c r="AL685" s="130"/>
      <c r="AM685" s="130"/>
      <c r="AN685" s="130"/>
      <c r="AO685" s="130"/>
      <c r="AP685" s="130"/>
      <c r="AQ685" s="130"/>
      <c r="AR685" s="130"/>
      <c r="AS685" s="130"/>
      <c r="BC685" s="250"/>
      <c r="BE685" s="119"/>
    </row>
    <row r="686" spans="34:57" ht="14.15" customHeight="1" x14ac:dyDescent="0.35">
      <c r="AH686" s="114"/>
      <c r="AI686" s="114"/>
      <c r="AJ686" s="130"/>
      <c r="AK686" s="130"/>
      <c r="AL686" s="130"/>
      <c r="AM686" s="130"/>
      <c r="AN686" s="130"/>
      <c r="AO686" s="130"/>
      <c r="AP686" s="130"/>
      <c r="AQ686" s="130"/>
      <c r="AR686" s="130"/>
      <c r="AS686" s="130"/>
      <c r="BC686" s="250"/>
      <c r="BE686" s="119"/>
    </row>
    <row r="687" spans="34:57" ht="14.15" customHeight="1" x14ac:dyDescent="0.35">
      <c r="AH687" s="114"/>
      <c r="AI687" s="114"/>
      <c r="AJ687" s="130"/>
      <c r="AK687" s="130"/>
      <c r="AL687" s="130"/>
      <c r="AM687" s="130"/>
      <c r="AN687" s="130"/>
      <c r="AO687" s="130"/>
      <c r="AP687" s="130"/>
      <c r="AQ687" s="130"/>
      <c r="AR687" s="130"/>
      <c r="AS687" s="130"/>
      <c r="BC687" s="250"/>
      <c r="BE687" s="119"/>
    </row>
    <row r="688" spans="34:57" ht="14.15" customHeight="1" x14ac:dyDescent="0.35">
      <c r="AH688" s="114"/>
      <c r="AI688" s="114"/>
      <c r="AJ688" s="130"/>
      <c r="AK688" s="130"/>
      <c r="AL688" s="130"/>
      <c r="AM688" s="130"/>
      <c r="AN688" s="130"/>
      <c r="AO688" s="130"/>
      <c r="AP688" s="130"/>
      <c r="AQ688" s="130"/>
      <c r="AR688" s="130"/>
      <c r="AS688" s="130"/>
      <c r="BC688" s="250"/>
      <c r="BE688" s="119"/>
    </row>
    <row r="689" spans="34:57" ht="14.15" customHeight="1" x14ac:dyDescent="0.35">
      <c r="AH689" s="114"/>
      <c r="AI689" s="114"/>
      <c r="AJ689" s="130"/>
      <c r="AK689" s="130"/>
      <c r="AL689" s="130"/>
      <c r="AM689" s="130"/>
      <c r="AN689" s="130"/>
      <c r="AO689" s="130"/>
      <c r="AP689" s="130"/>
      <c r="AQ689" s="130"/>
      <c r="AR689" s="130"/>
      <c r="AS689" s="130"/>
      <c r="BC689" s="250"/>
      <c r="BE689" s="119"/>
    </row>
    <row r="690" spans="34:57" ht="14.15" customHeight="1" x14ac:dyDescent="0.35">
      <c r="AH690" s="114"/>
      <c r="AI690" s="114"/>
      <c r="AJ690" s="130"/>
      <c r="AK690" s="130"/>
      <c r="AL690" s="130"/>
      <c r="AM690" s="130"/>
      <c r="AN690" s="130"/>
      <c r="AO690" s="130"/>
      <c r="AP690" s="130"/>
      <c r="AQ690" s="130"/>
      <c r="AR690" s="130"/>
      <c r="AS690" s="130"/>
      <c r="BC690" s="250"/>
      <c r="BE690" s="119"/>
    </row>
    <row r="691" spans="34:57" ht="14.15" customHeight="1" x14ac:dyDescent="0.35">
      <c r="AH691" s="114"/>
      <c r="AI691" s="114"/>
      <c r="AJ691" s="130"/>
      <c r="AK691" s="130"/>
      <c r="AL691" s="130"/>
      <c r="AM691" s="130"/>
      <c r="AN691" s="130"/>
      <c r="AO691" s="130"/>
      <c r="AP691" s="130"/>
      <c r="AQ691" s="130"/>
      <c r="AR691" s="130"/>
      <c r="AS691" s="130"/>
      <c r="BC691" s="250"/>
      <c r="BE691" s="119"/>
    </row>
    <row r="692" spans="34:57" ht="14.15" customHeight="1" x14ac:dyDescent="0.35">
      <c r="AH692" s="114"/>
      <c r="AI692" s="114"/>
      <c r="AJ692" s="130"/>
      <c r="AK692" s="130"/>
      <c r="AL692" s="130"/>
      <c r="AM692" s="130"/>
      <c r="AN692" s="130"/>
      <c r="AO692" s="130"/>
      <c r="AP692" s="130"/>
      <c r="AQ692" s="130"/>
      <c r="AR692" s="130"/>
      <c r="AS692" s="130"/>
      <c r="BC692" s="250"/>
      <c r="BE692" s="119"/>
    </row>
    <row r="693" spans="34:57" ht="14.15" customHeight="1" x14ac:dyDescent="0.35">
      <c r="AH693" s="114"/>
      <c r="AI693" s="114"/>
      <c r="AJ693" s="130"/>
      <c r="AK693" s="130"/>
      <c r="AL693" s="130"/>
      <c r="AM693" s="130"/>
      <c r="AN693" s="130"/>
      <c r="AO693" s="130"/>
      <c r="AP693" s="130"/>
      <c r="AQ693" s="130"/>
      <c r="AR693" s="130"/>
      <c r="AS693" s="130"/>
      <c r="BC693" s="250"/>
      <c r="BE693" s="119"/>
    </row>
    <row r="694" spans="34:57" ht="14.15" customHeight="1" x14ac:dyDescent="0.35">
      <c r="AH694" s="114"/>
      <c r="AI694" s="114"/>
      <c r="AJ694" s="130"/>
      <c r="AK694" s="130"/>
      <c r="AL694" s="130"/>
      <c r="AM694" s="130"/>
      <c r="AN694" s="130"/>
      <c r="AO694" s="130"/>
      <c r="AP694" s="130"/>
      <c r="AQ694" s="130"/>
      <c r="AR694" s="130"/>
      <c r="AS694" s="130"/>
      <c r="BC694" s="250"/>
      <c r="BE694" s="119"/>
    </row>
    <row r="695" spans="34:57" ht="14.15" customHeight="1" x14ac:dyDescent="0.35">
      <c r="AH695" s="114"/>
      <c r="AI695" s="114"/>
      <c r="AJ695" s="130"/>
      <c r="AK695" s="130"/>
      <c r="AL695" s="130"/>
      <c r="AM695" s="130"/>
      <c r="AN695" s="130"/>
      <c r="AO695" s="130"/>
      <c r="AP695" s="130"/>
      <c r="AQ695" s="130"/>
      <c r="AR695" s="130"/>
      <c r="AS695" s="130"/>
      <c r="BC695" s="250"/>
      <c r="BE695" s="119"/>
    </row>
    <row r="696" spans="34:57" ht="14.15" customHeight="1" x14ac:dyDescent="0.35">
      <c r="AH696" s="114"/>
      <c r="AI696" s="114"/>
      <c r="AJ696" s="130"/>
      <c r="AK696" s="130"/>
      <c r="AL696" s="130"/>
      <c r="AM696" s="130"/>
      <c r="AN696" s="130"/>
      <c r="AO696" s="130"/>
      <c r="AP696" s="130"/>
      <c r="AQ696" s="130"/>
      <c r="AR696" s="130"/>
      <c r="AS696" s="130"/>
      <c r="BC696" s="250"/>
      <c r="BE696" s="119"/>
    </row>
    <row r="697" spans="34:57" ht="14.15" customHeight="1" x14ac:dyDescent="0.35">
      <c r="AH697" s="114"/>
      <c r="AI697" s="114"/>
      <c r="AJ697" s="130"/>
      <c r="AK697" s="130"/>
      <c r="AL697" s="130"/>
      <c r="AM697" s="130"/>
      <c r="AN697" s="130"/>
      <c r="AO697" s="130"/>
      <c r="AP697" s="130"/>
      <c r="AQ697" s="130"/>
      <c r="AR697" s="130"/>
      <c r="AS697" s="130"/>
      <c r="BC697" s="250"/>
      <c r="BE697" s="119"/>
    </row>
    <row r="698" spans="34:57" ht="14.15" customHeight="1" x14ac:dyDescent="0.35">
      <c r="AH698" s="114"/>
      <c r="AI698" s="114"/>
      <c r="AJ698" s="130"/>
      <c r="AK698" s="130"/>
      <c r="AL698" s="130"/>
      <c r="AM698" s="130"/>
      <c r="AN698" s="130"/>
      <c r="AO698" s="130"/>
      <c r="AP698" s="130"/>
      <c r="AQ698" s="130"/>
      <c r="AR698" s="130"/>
      <c r="AS698" s="130"/>
      <c r="BC698" s="250"/>
      <c r="BE698" s="119"/>
    </row>
    <row r="699" spans="34:57" ht="14.15" customHeight="1" x14ac:dyDescent="0.35">
      <c r="AH699" s="114"/>
      <c r="AI699" s="114"/>
      <c r="AJ699" s="130"/>
      <c r="AK699" s="130"/>
      <c r="AL699" s="130"/>
      <c r="AM699" s="130"/>
      <c r="AN699" s="130"/>
      <c r="AO699" s="130"/>
      <c r="AP699" s="130"/>
      <c r="AQ699" s="130"/>
      <c r="AR699" s="130"/>
      <c r="AS699" s="130"/>
      <c r="BC699" s="250"/>
      <c r="BE699" s="119"/>
    </row>
    <row r="700" spans="34:57" ht="14.15" customHeight="1" x14ac:dyDescent="0.35">
      <c r="AH700" s="114"/>
      <c r="AI700" s="114"/>
      <c r="AJ700" s="130"/>
      <c r="AK700" s="130"/>
      <c r="AL700" s="130"/>
      <c r="AM700" s="130"/>
      <c r="AN700" s="130"/>
      <c r="AO700" s="130"/>
      <c r="AP700" s="130"/>
      <c r="AQ700" s="130"/>
      <c r="AR700" s="130"/>
      <c r="AS700" s="130"/>
      <c r="BC700" s="250"/>
      <c r="BE700" s="119"/>
    </row>
    <row r="701" spans="34:57" ht="14.15" customHeight="1" x14ac:dyDescent="0.35">
      <c r="AH701" s="114"/>
      <c r="AI701" s="114"/>
      <c r="AJ701" s="130"/>
      <c r="AK701" s="130"/>
      <c r="AL701" s="130"/>
      <c r="AM701" s="130"/>
      <c r="AN701" s="130"/>
      <c r="AO701" s="130"/>
      <c r="AP701" s="130"/>
      <c r="AQ701" s="130"/>
      <c r="AR701" s="130"/>
      <c r="AS701" s="130"/>
      <c r="BC701" s="250"/>
      <c r="BE701" s="119"/>
    </row>
    <row r="702" spans="34:57" ht="14.15" customHeight="1" x14ac:dyDescent="0.35">
      <c r="AH702" s="114"/>
      <c r="AI702" s="114"/>
      <c r="AJ702" s="130"/>
      <c r="AK702" s="130"/>
      <c r="AL702" s="130"/>
      <c r="AM702" s="130"/>
      <c r="AN702" s="130"/>
      <c r="AO702" s="130"/>
      <c r="AP702" s="130"/>
      <c r="AQ702" s="130"/>
      <c r="AR702" s="130"/>
      <c r="AS702" s="130"/>
      <c r="BC702" s="250"/>
      <c r="BE702" s="119"/>
    </row>
    <row r="703" spans="34:57" ht="14.15" customHeight="1" x14ac:dyDescent="0.35">
      <c r="AH703" s="114"/>
      <c r="AI703" s="114"/>
      <c r="AJ703" s="130"/>
      <c r="AK703" s="130"/>
      <c r="AL703" s="130"/>
      <c r="AM703" s="130"/>
      <c r="AN703" s="130"/>
      <c r="AO703" s="130"/>
      <c r="AP703" s="130"/>
      <c r="AQ703" s="130"/>
      <c r="AR703" s="130"/>
      <c r="AS703" s="130"/>
      <c r="BC703" s="250"/>
      <c r="BE703" s="119"/>
    </row>
    <row r="704" spans="34:57" ht="14.15" customHeight="1" x14ac:dyDescent="0.35">
      <c r="AH704" s="114"/>
      <c r="AI704" s="114"/>
      <c r="AJ704" s="130"/>
      <c r="AK704" s="130"/>
      <c r="AL704" s="130"/>
      <c r="AM704" s="130"/>
      <c r="AN704" s="130"/>
      <c r="AO704" s="130"/>
      <c r="AP704" s="130"/>
      <c r="AQ704" s="130"/>
      <c r="AR704" s="130"/>
      <c r="AS704" s="130"/>
      <c r="BC704" s="250"/>
      <c r="BE704" s="119"/>
    </row>
    <row r="705" spans="34:57" ht="14.15" customHeight="1" x14ac:dyDescent="0.35">
      <c r="AH705" s="114"/>
      <c r="AI705" s="114"/>
      <c r="AJ705" s="130"/>
      <c r="AK705" s="130"/>
      <c r="AL705" s="130"/>
      <c r="AM705" s="130"/>
      <c r="AN705" s="130"/>
      <c r="AO705" s="130"/>
      <c r="AP705" s="130"/>
      <c r="AQ705" s="130"/>
      <c r="AR705" s="130"/>
      <c r="AS705" s="130"/>
      <c r="BC705" s="250"/>
      <c r="BE705" s="119"/>
    </row>
    <row r="706" spans="34:57" ht="14.15" customHeight="1" x14ac:dyDescent="0.35">
      <c r="AH706" s="114"/>
      <c r="AI706" s="114"/>
      <c r="AJ706" s="130"/>
      <c r="AK706" s="130"/>
      <c r="AL706" s="130"/>
      <c r="AM706" s="130"/>
      <c r="AN706" s="130"/>
      <c r="AO706" s="130"/>
      <c r="AP706" s="130"/>
      <c r="AQ706" s="130"/>
      <c r="AR706" s="130"/>
      <c r="AS706" s="130"/>
      <c r="BC706" s="250"/>
      <c r="BE706" s="119"/>
    </row>
    <row r="707" spans="34:57" ht="14.15" customHeight="1" x14ac:dyDescent="0.35">
      <c r="AH707" s="114"/>
      <c r="AI707" s="114"/>
      <c r="AJ707" s="130"/>
      <c r="AK707" s="130"/>
      <c r="AL707" s="130"/>
      <c r="AM707" s="130"/>
      <c r="AN707" s="130"/>
      <c r="AO707" s="130"/>
      <c r="AP707" s="130"/>
      <c r="AQ707" s="130"/>
      <c r="AR707" s="130"/>
      <c r="AS707" s="130"/>
      <c r="BC707" s="250"/>
      <c r="BE707" s="119"/>
    </row>
    <row r="708" spans="34:57" ht="14.15" customHeight="1" x14ac:dyDescent="0.35">
      <c r="AH708" s="114"/>
      <c r="AI708" s="114"/>
      <c r="AJ708" s="130"/>
      <c r="AK708" s="130"/>
      <c r="AL708" s="130"/>
      <c r="AM708" s="130"/>
      <c r="AN708" s="130"/>
      <c r="AO708" s="130"/>
      <c r="AP708" s="130"/>
      <c r="AQ708" s="130"/>
      <c r="AR708" s="130"/>
      <c r="AS708" s="130"/>
      <c r="BC708" s="250"/>
      <c r="BE708" s="119"/>
    </row>
    <row r="709" spans="34:57" ht="14.15" customHeight="1" x14ac:dyDescent="0.35">
      <c r="AH709" s="114"/>
      <c r="AI709" s="114"/>
      <c r="AJ709" s="130"/>
      <c r="AK709" s="130"/>
      <c r="AL709" s="130"/>
      <c r="AM709" s="130"/>
      <c r="AN709" s="130"/>
      <c r="AO709" s="130"/>
      <c r="AP709" s="130"/>
      <c r="AQ709" s="130"/>
      <c r="AR709" s="130"/>
      <c r="AS709" s="130"/>
      <c r="BC709" s="250"/>
      <c r="BE709" s="119"/>
    </row>
    <row r="710" spans="34:57" ht="14.15" customHeight="1" x14ac:dyDescent="0.35">
      <c r="AH710" s="114"/>
      <c r="AI710" s="114"/>
      <c r="AJ710" s="130"/>
      <c r="AK710" s="130"/>
      <c r="AL710" s="130"/>
      <c r="AM710" s="130"/>
      <c r="AN710" s="130"/>
      <c r="AO710" s="130"/>
      <c r="AP710" s="130"/>
      <c r="AQ710" s="130"/>
      <c r="AR710" s="130"/>
      <c r="AS710" s="130"/>
      <c r="BC710" s="250"/>
      <c r="BE710" s="119"/>
    </row>
    <row r="711" spans="34:57" ht="14.15" customHeight="1" x14ac:dyDescent="0.35">
      <c r="AH711" s="114"/>
      <c r="AI711" s="114"/>
      <c r="AJ711" s="130"/>
      <c r="AK711" s="130"/>
      <c r="AL711" s="130"/>
      <c r="AM711" s="130"/>
      <c r="AN711" s="130"/>
      <c r="AO711" s="130"/>
      <c r="AP711" s="130"/>
      <c r="AQ711" s="130"/>
      <c r="AR711" s="130"/>
      <c r="AS711" s="130"/>
      <c r="BC711" s="250"/>
      <c r="BE711" s="119"/>
    </row>
    <row r="712" spans="34:57" ht="14.15" customHeight="1" x14ac:dyDescent="0.35">
      <c r="AH712" s="114"/>
      <c r="AI712" s="114"/>
      <c r="AJ712" s="130"/>
      <c r="AK712" s="130"/>
      <c r="AL712" s="130"/>
      <c r="AM712" s="130"/>
      <c r="AN712" s="130"/>
      <c r="AO712" s="130"/>
      <c r="AP712" s="130"/>
      <c r="AQ712" s="130"/>
      <c r="AR712" s="130"/>
      <c r="AS712" s="130"/>
      <c r="BC712" s="250"/>
      <c r="BE712" s="119"/>
    </row>
    <row r="713" spans="34:57" ht="14.15" customHeight="1" x14ac:dyDescent="0.35">
      <c r="AH713" s="114"/>
      <c r="AI713" s="114"/>
      <c r="AJ713" s="130"/>
      <c r="AK713" s="130"/>
      <c r="AL713" s="130"/>
      <c r="AM713" s="130"/>
      <c r="AN713" s="130"/>
      <c r="AO713" s="130"/>
      <c r="AP713" s="130"/>
      <c r="AQ713" s="130"/>
      <c r="AR713" s="130"/>
      <c r="AS713" s="130"/>
      <c r="BC713" s="250"/>
      <c r="BE713" s="119"/>
    </row>
    <row r="714" spans="34:57" ht="14.15" customHeight="1" x14ac:dyDescent="0.35">
      <c r="AH714" s="114"/>
      <c r="AI714" s="114"/>
      <c r="AJ714" s="130"/>
      <c r="AK714" s="130"/>
      <c r="AL714" s="130"/>
      <c r="AM714" s="130"/>
      <c r="AN714" s="130"/>
      <c r="AO714" s="130"/>
      <c r="AP714" s="130"/>
      <c r="AQ714" s="130"/>
      <c r="AR714" s="130"/>
      <c r="AS714" s="130"/>
      <c r="BC714" s="250"/>
      <c r="BE714" s="119"/>
    </row>
    <row r="715" spans="34:57" ht="14.15" customHeight="1" x14ac:dyDescent="0.35">
      <c r="AH715" s="114"/>
      <c r="AI715" s="114"/>
      <c r="AJ715" s="130"/>
      <c r="AK715" s="130"/>
      <c r="AL715" s="130"/>
      <c r="AM715" s="130"/>
      <c r="AN715" s="130"/>
      <c r="AO715" s="130"/>
      <c r="AP715" s="130"/>
      <c r="AQ715" s="130"/>
      <c r="AR715" s="130"/>
      <c r="AS715" s="130"/>
      <c r="BC715" s="250"/>
      <c r="BE715" s="119"/>
    </row>
    <row r="716" spans="34:57" ht="14.15" customHeight="1" x14ac:dyDescent="0.35">
      <c r="AH716" s="114"/>
      <c r="AI716" s="114"/>
      <c r="AJ716" s="130"/>
      <c r="AK716" s="130"/>
      <c r="AL716" s="130"/>
      <c r="AM716" s="130"/>
      <c r="AN716" s="130"/>
      <c r="AO716" s="130"/>
      <c r="AP716" s="130"/>
      <c r="AQ716" s="130"/>
      <c r="AR716" s="130"/>
      <c r="AS716" s="130"/>
      <c r="BC716" s="250"/>
      <c r="BE716" s="119"/>
    </row>
    <row r="717" spans="34:57" ht="14.15" customHeight="1" x14ac:dyDescent="0.35">
      <c r="AH717" s="114"/>
      <c r="AI717" s="114"/>
      <c r="AJ717" s="130"/>
      <c r="AK717" s="130"/>
      <c r="AL717" s="130"/>
      <c r="AM717" s="130"/>
      <c r="AN717" s="130"/>
      <c r="AO717" s="130"/>
      <c r="AP717" s="130"/>
      <c r="AQ717" s="130"/>
      <c r="AR717" s="130"/>
      <c r="AS717" s="130"/>
      <c r="BC717" s="250"/>
      <c r="BE717" s="119"/>
    </row>
    <row r="718" spans="34:57" ht="14.15" customHeight="1" x14ac:dyDescent="0.35">
      <c r="AH718" s="114"/>
      <c r="AI718" s="114"/>
      <c r="AJ718" s="130"/>
      <c r="AK718" s="130"/>
      <c r="AL718" s="130"/>
      <c r="AM718" s="130"/>
      <c r="AN718" s="130"/>
      <c r="AO718" s="130"/>
      <c r="AP718" s="130"/>
      <c r="AQ718" s="130"/>
      <c r="AR718" s="130"/>
      <c r="AS718" s="130"/>
      <c r="BC718" s="250"/>
      <c r="BE718" s="119"/>
    </row>
    <row r="719" spans="34:57" ht="14.15" customHeight="1" x14ac:dyDescent="0.35">
      <c r="AH719" s="114"/>
      <c r="AI719" s="114"/>
      <c r="AJ719" s="130"/>
      <c r="AK719" s="130"/>
      <c r="AL719" s="130"/>
      <c r="AM719" s="130"/>
      <c r="AN719" s="130"/>
      <c r="AO719" s="130"/>
      <c r="AP719" s="130"/>
      <c r="AQ719" s="130"/>
      <c r="AR719" s="130"/>
      <c r="AS719" s="130"/>
      <c r="BC719" s="250"/>
      <c r="BE719" s="119"/>
    </row>
    <row r="720" spans="34:57" ht="14.15" customHeight="1" x14ac:dyDescent="0.35">
      <c r="AH720" s="114"/>
      <c r="AI720" s="114"/>
      <c r="AJ720" s="130"/>
      <c r="AK720" s="130"/>
      <c r="AL720" s="130"/>
      <c r="AM720" s="130"/>
      <c r="AN720" s="130"/>
      <c r="AO720" s="130"/>
      <c r="AP720" s="130"/>
      <c r="AQ720" s="130"/>
      <c r="AR720" s="130"/>
      <c r="AS720" s="130"/>
      <c r="BC720" s="250"/>
      <c r="BE720" s="119"/>
    </row>
    <row r="721" spans="34:57" ht="14.15" customHeight="1" x14ac:dyDescent="0.35">
      <c r="AH721" s="114"/>
      <c r="AI721" s="114"/>
      <c r="AJ721" s="130"/>
      <c r="AK721" s="130"/>
      <c r="AL721" s="130"/>
      <c r="AM721" s="130"/>
      <c r="AN721" s="130"/>
      <c r="AO721" s="130"/>
      <c r="AP721" s="130"/>
      <c r="AQ721" s="130"/>
      <c r="AR721" s="130"/>
      <c r="AS721" s="130"/>
      <c r="BC721" s="250"/>
      <c r="BE721" s="119"/>
    </row>
    <row r="722" spans="34:57" ht="14.15" customHeight="1" x14ac:dyDescent="0.35">
      <c r="AH722" s="114"/>
      <c r="AI722" s="114"/>
      <c r="AJ722" s="130"/>
      <c r="AK722" s="130"/>
      <c r="AL722" s="130"/>
      <c r="AM722" s="130"/>
      <c r="AN722" s="130"/>
      <c r="AO722" s="130"/>
      <c r="AP722" s="130"/>
      <c r="AQ722" s="130"/>
      <c r="AR722" s="130"/>
      <c r="AS722" s="130"/>
      <c r="BC722" s="250"/>
      <c r="BE722" s="119"/>
    </row>
    <row r="723" spans="34:57" ht="14.15" customHeight="1" x14ac:dyDescent="0.35">
      <c r="AH723" s="114"/>
      <c r="AI723" s="114"/>
      <c r="AJ723" s="130"/>
      <c r="AK723" s="130"/>
      <c r="AL723" s="130"/>
      <c r="AM723" s="130"/>
      <c r="AN723" s="130"/>
      <c r="AO723" s="130"/>
      <c r="AP723" s="130"/>
      <c r="AQ723" s="130"/>
      <c r="AR723" s="130"/>
      <c r="AS723" s="130"/>
      <c r="BC723" s="250"/>
      <c r="BE723" s="119"/>
    </row>
    <row r="724" spans="34:57" ht="14.15" customHeight="1" x14ac:dyDescent="0.35">
      <c r="AH724" s="114"/>
      <c r="AI724" s="114"/>
      <c r="AJ724" s="130"/>
      <c r="AK724" s="130"/>
      <c r="AL724" s="130"/>
      <c r="AM724" s="130"/>
      <c r="AN724" s="130"/>
      <c r="AO724" s="130"/>
      <c r="AP724" s="130"/>
      <c r="AQ724" s="130"/>
      <c r="AR724" s="130"/>
      <c r="AS724" s="130"/>
      <c r="BC724" s="250"/>
      <c r="BE724" s="119"/>
    </row>
    <row r="725" spans="34:57" ht="14.15" customHeight="1" x14ac:dyDescent="0.35">
      <c r="AH725" s="114"/>
      <c r="AI725" s="114"/>
      <c r="AJ725" s="130"/>
      <c r="AK725" s="130"/>
      <c r="AL725" s="130"/>
      <c r="AM725" s="130"/>
      <c r="AN725" s="130"/>
      <c r="AO725" s="130"/>
      <c r="AP725" s="130"/>
      <c r="AQ725" s="130"/>
      <c r="AR725" s="130"/>
      <c r="AS725" s="130"/>
      <c r="BC725" s="250"/>
      <c r="BE725" s="119"/>
    </row>
    <row r="726" spans="34:57" ht="14.15" customHeight="1" x14ac:dyDescent="0.35">
      <c r="AH726" s="114"/>
      <c r="AI726" s="114"/>
      <c r="AJ726" s="130"/>
      <c r="AK726" s="130"/>
      <c r="AL726" s="130"/>
      <c r="AM726" s="130"/>
      <c r="AN726" s="130"/>
      <c r="AO726" s="130"/>
      <c r="AP726" s="130"/>
      <c r="AQ726" s="130"/>
      <c r="AR726" s="130"/>
      <c r="AS726" s="130"/>
      <c r="BC726" s="250"/>
      <c r="BE726" s="119"/>
    </row>
    <row r="727" spans="34:57" ht="14.15" customHeight="1" x14ac:dyDescent="0.35">
      <c r="AH727" s="114"/>
      <c r="AI727" s="114"/>
      <c r="AJ727" s="130"/>
      <c r="AK727" s="130"/>
      <c r="AL727" s="130"/>
      <c r="AM727" s="130"/>
      <c r="AN727" s="130"/>
      <c r="AO727" s="130"/>
      <c r="AP727" s="130"/>
      <c r="AQ727" s="130"/>
      <c r="AR727" s="130"/>
      <c r="AS727" s="130"/>
      <c r="BC727" s="250"/>
      <c r="BE727" s="119"/>
    </row>
    <row r="728" spans="34:57" ht="14.15" customHeight="1" x14ac:dyDescent="0.35">
      <c r="AH728" s="114"/>
      <c r="AI728" s="114"/>
      <c r="AJ728" s="130"/>
      <c r="AK728" s="130"/>
      <c r="AL728" s="130"/>
      <c r="AM728" s="130"/>
      <c r="AN728" s="130"/>
      <c r="AO728" s="130"/>
      <c r="AP728" s="130"/>
      <c r="AQ728" s="130"/>
      <c r="AR728" s="130"/>
      <c r="AS728" s="130"/>
      <c r="BC728" s="250"/>
      <c r="BE728" s="119"/>
    </row>
    <row r="729" spans="34:57" ht="14.15" customHeight="1" x14ac:dyDescent="0.35">
      <c r="AH729" s="114"/>
      <c r="AI729" s="114"/>
      <c r="AJ729" s="130"/>
      <c r="AK729" s="130"/>
      <c r="AL729" s="130"/>
      <c r="AM729" s="130"/>
      <c r="AN729" s="130"/>
      <c r="AO729" s="130"/>
      <c r="AP729" s="130"/>
      <c r="AQ729" s="130"/>
      <c r="AR729" s="130"/>
      <c r="AS729" s="130"/>
      <c r="BC729" s="250"/>
      <c r="BE729" s="119"/>
    </row>
    <row r="730" spans="34:57" ht="14.15" customHeight="1" x14ac:dyDescent="0.35">
      <c r="AH730" s="114"/>
      <c r="AI730" s="114"/>
      <c r="AJ730" s="130"/>
      <c r="AK730" s="130"/>
      <c r="AL730" s="130"/>
      <c r="AM730" s="130"/>
      <c r="AN730" s="130"/>
      <c r="AO730" s="130"/>
      <c r="AP730" s="130"/>
      <c r="AQ730" s="130"/>
      <c r="AR730" s="130"/>
      <c r="AS730" s="130"/>
      <c r="BC730" s="250"/>
      <c r="BE730" s="119"/>
    </row>
    <row r="731" spans="34:57" ht="14.15" customHeight="1" x14ac:dyDescent="0.35">
      <c r="AH731" s="114"/>
      <c r="AI731" s="114"/>
      <c r="AJ731" s="130"/>
      <c r="AK731" s="130"/>
      <c r="AL731" s="130"/>
      <c r="AM731" s="130"/>
      <c r="AN731" s="130"/>
      <c r="AO731" s="130"/>
      <c r="AP731" s="130"/>
      <c r="AQ731" s="130"/>
      <c r="AR731" s="130"/>
      <c r="AS731" s="130"/>
      <c r="BC731" s="250"/>
      <c r="BE731" s="119"/>
    </row>
    <row r="732" spans="34:57" ht="14.15" customHeight="1" x14ac:dyDescent="0.35">
      <c r="AH732" s="114"/>
      <c r="AI732" s="114"/>
      <c r="AJ732" s="130"/>
      <c r="AK732" s="130"/>
      <c r="AL732" s="130"/>
      <c r="AM732" s="130"/>
      <c r="AN732" s="130"/>
      <c r="AO732" s="130"/>
      <c r="AP732" s="130"/>
      <c r="AQ732" s="130"/>
      <c r="AR732" s="130"/>
      <c r="AS732" s="130"/>
      <c r="BC732" s="250"/>
      <c r="BE732" s="119"/>
    </row>
    <row r="733" spans="34:57" ht="14.15" customHeight="1" x14ac:dyDescent="0.35">
      <c r="AH733" s="114"/>
      <c r="AI733" s="114"/>
      <c r="AJ733" s="130"/>
      <c r="AK733" s="130"/>
      <c r="AL733" s="130"/>
      <c r="AM733" s="130"/>
      <c r="AN733" s="130"/>
      <c r="AO733" s="130"/>
      <c r="AP733" s="130"/>
      <c r="AQ733" s="130"/>
      <c r="AR733" s="130"/>
      <c r="AS733" s="130"/>
      <c r="BC733" s="250"/>
      <c r="BE733" s="119"/>
    </row>
    <row r="734" spans="34:57" ht="14.15" customHeight="1" x14ac:dyDescent="0.35">
      <c r="AH734" s="114"/>
      <c r="AI734" s="114"/>
      <c r="AJ734" s="130"/>
      <c r="AK734" s="130"/>
      <c r="AL734" s="130"/>
      <c r="AM734" s="130"/>
      <c r="AN734" s="130"/>
      <c r="AO734" s="130"/>
      <c r="AP734" s="130"/>
      <c r="AQ734" s="130"/>
      <c r="AR734" s="130"/>
      <c r="AS734" s="130"/>
      <c r="BC734" s="250"/>
      <c r="BE734" s="119"/>
    </row>
    <row r="735" spans="34:57" ht="14.15" customHeight="1" x14ac:dyDescent="0.35">
      <c r="AH735" s="114"/>
      <c r="AI735" s="114"/>
      <c r="AJ735" s="130"/>
      <c r="AK735" s="130"/>
      <c r="AL735" s="130"/>
      <c r="AM735" s="130"/>
      <c r="AN735" s="130"/>
      <c r="AO735" s="130"/>
      <c r="AP735" s="130"/>
      <c r="AQ735" s="130"/>
      <c r="AR735" s="130"/>
      <c r="AS735" s="130"/>
      <c r="BC735" s="250"/>
      <c r="BE735" s="119"/>
    </row>
    <row r="736" spans="34:57" ht="14.15" customHeight="1" x14ac:dyDescent="0.35">
      <c r="AH736" s="114"/>
      <c r="AI736" s="114"/>
      <c r="AJ736" s="130"/>
      <c r="AK736" s="130"/>
      <c r="AL736" s="130"/>
      <c r="AM736" s="130"/>
      <c r="AN736" s="130"/>
      <c r="AO736" s="130"/>
      <c r="AP736" s="130"/>
      <c r="AQ736" s="130"/>
      <c r="AR736" s="130"/>
      <c r="AS736" s="130"/>
      <c r="BC736" s="250"/>
      <c r="BE736" s="119"/>
    </row>
    <row r="737" spans="34:57" ht="14.15" customHeight="1" x14ac:dyDescent="0.35">
      <c r="AH737" s="114"/>
      <c r="AI737" s="114"/>
      <c r="AJ737" s="130"/>
      <c r="AK737" s="130"/>
      <c r="AL737" s="130"/>
      <c r="AM737" s="130"/>
      <c r="AN737" s="130"/>
      <c r="AO737" s="130"/>
      <c r="AP737" s="130"/>
      <c r="AQ737" s="130"/>
      <c r="AR737" s="130"/>
      <c r="AS737" s="130"/>
      <c r="BC737" s="250"/>
      <c r="BE737" s="119"/>
    </row>
    <row r="738" spans="34:57" ht="14.15" customHeight="1" x14ac:dyDescent="0.35">
      <c r="AH738" s="114"/>
      <c r="AI738" s="114"/>
      <c r="AJ738" s="130"/>
      <c r="AK738" s="130"/>
      <c r="AL738" s="130"/>
      <c r="AM738" s="130"/>
      <c r="AN738" s="130"/>
      <c r="AO738" s="130"/>
      <c r="AP738" s="130"/>
      <c r="AQ738" s="130"/>
      <c r="AR738" s="130"/>
      <c r="AS738" s="130"/>
      <c r="BC738" s="250"/>
      <c r="BE738" s="119"/>
    </row>
    <row r="739" spans="34:57" ht="14.15" customHeight="1" x14ac:dyDescent="0.35">
      <c r="AH739" s="114"/>
      <c r="AI739" s="114"/>
      <c r="AJ739" s="130"/>
      <c r="AK739" s="130"/>
      <c r="AL739" s="130"/>
      <c r="AM739" s="130"/>
      <c r="AN739" s="130"/>
      <c r="AO739" s="130"/>
      <c r="AP739" s="130"/>
      <c r="AQ739" s="130"/>
      <c r="AR739" s="130"/>
      <c r="AS739" s="130"/>
      <c r="BC739" s="250"/>
      <c r="BE739" s="119"/>
    </row>
    <row r="740" spans="34:57" ht="14.15" customHeight="1" x14ac:dyDescent="0.35">
      <c r="AH740" s="114"/>
      <c r="AI740" s="114"/>
      <c r="AJ740" s="130"/>
      <c r="AK740" s="130"/>
      <c r="AL740" s="130"/>
      <c r="AM740" s="130"/>
      <c r="AN740" s="130"/>
      <c r="AO740" s="130"/>
      <c r="AP740" s="130"/>
      <c r="AQ740" s="130"/>
      <c r="AR740" s="130"/>
      <c r="AS740" s="130"/>
      <c r="BC740" s="250"/>
      <c r="BE740" s="119"/>
    </row>
    <row r="741" spans="34:57" ht="14.15" customHeight="1" x14ac:dyDescent="0.35">
      <c r="AH741" s="114"/>
      <c r="AI741" s="114"/>
      <c r="AJ741" s="130"/>
      <c r="AK741" s="130"/>
      <c r="AL741" s="130"/>
      <c r="AM741" s="130"/>
      <c r="AN741" s="130"/>
      <c r="AO741" s="130"/>
      <c r="AP741" s="130"/>
      <c r="AQ741" s="130"/>
      <c r="AR741" s="130"/>
      <c r="AS741" s="130"/>
      <c r="BC741" s="250"/>
      <c r="BE741" s="119"/>
    </row>
    <row r="742" spans="34:57" ht="14.15" customHeight="1" x14ac:dyDescent="0.35">
      <c r="AH742" s="114"/>
      <c r="AI742" s="114"/>
      <c r="AJ742" s="130"/>
      <c r="AK742" s="130"/>
      <c r="AL742" s="130"/>
      <c r="AM742" s="130"/>
      <c r="AN742" s="130"/>
      <c r="AO742" s="130"/>
      <c r="AP742" s="130"/>
      <c r="AQ742" s="130"/>
      <c r="AR742" s="130"/>
      <c r="AS742" s="130"/>
      <c r="BC742" s="250"/>
      <c r="BE742" s="119"/>
    </row>
    <row r="743" spans="34:57" ht="14.15" customHeight="1" x14ac:dyDescent="0.35">
      <c r="AH743" s="114"/>
      <c r="AI743" s="114"/>
      <c r="AJ743" s="130"/>
      <c r="AK743" s="130"/>
      <c r="AL743" s="130"/>
      <c r="AM743" s="130"/>
      <c r="AN743" s="130"/>
      <c r="AO743" s="130"/>
      <c r="AP743" s="130"/>
      <c r="AQ743" s="130"/>
      <c r="AR743" s="130"/>
      <c r="AS743" s="130"/>
      <c r="BC743" s="250"/>
      <c r="BE743" s="119"/>
    </row>
    <row r="744" spans="34:57" ht="14.15" customHeight="1" x14ac:dyDescent="0.35">
      <c r="AH744" s="114"/>
      <c r="AI744" s="114"/>
      <c r="AJ744" s="130"/>
      <c r="AK744" s="130"/>
      <c r="AL744" s="130"/>
      <c r="AM744" s="130"/>
      <c r="AN744" s="130"/>
      <c r="AO744" s="130"/>
      <c r="AP744" s="130"/>
      <c r="AQ744" s="130"/>
      <c r="AR744" s="130"/>
      <c r="AS744" s="130"/>
      <c r="BC744" s="250"/>
      <c r="BE744" s="119"/>
    </row>
    <row r="745" spans="34:57" ht="14.15" customHeight="1" x14ac:dyDescent="0.35">
      <c r="AH745" s="114"/>
      <c r="AI745" s="114"/>
      <c r="AJ745" s="130"/>
      <c r="AK745" s="130"/>
      <c r="AL745" s="130"/>
      <c r="AM745" s="130"/>
      <c r="AN745" s="130"/>
      <c r="AO745" s="130"/>
      <c r="AP745" s="130"/>
      <c r="AQ745" s="130"/>
      <c r="AR745" s="130"/>
      <c r="AS745" s="130"/>
      <c r="BC745" s="250"/>
      <c r="BE745" s="119"/>
    </row>
    <row r="746" spans="34:57" ht="14.15" customHeight="1" x14ac:dyDescent="0.35">
      <c r="AH746" s="114"/>
      <c r="AI746" s="114"/>
      <c r="AJ746" s="130"/>
      <c r="AK746" s="130"/>
      <c r="AL746" s="130"/>
      <c r="AM746" s="130"/>
      <c r="AN746" s="130"/>
      <c r="AO746" s="130"/>
      <c r="AP746" s="130"/>
      <c r="AQ746" s="130"/>
      <c r="AR746" s="130"/>
      <c r="AS746" s="130"/>
      <c r="BC746" s="250"/>
      <c r="BE746" s="119"/>
    </row>
    <row r="747" spans="34:57" ht="14.15" customHeight="1" x14ac:dyDescent="0.35">
      <c r="AH747" s="114"/>
      <c r="AI747" s="114"/>
      <c r="AJ747" s="130"/>
      <c r="AK747" s="130"/>
      <c r="AL747" s="130"/>
      <c r="AM747" s="130"/>
      <c r="AN747" s="130"/>
      <c r="AO747" s="130"/>
      <c r="AP747" s="130"/>
      <c r="AQ747" s="130"/>
      <c r="AR747" s="130"/>
      <c r="AS747" s="130"/>
      <c r="BC747" s="250"/>
      <c r="BE747" s="119"/>
    </row>
    <row r="748" spans="34:57" ht="14.15" customHeight="1" x14ac:dyDescent="0.35">
      <c r="AH748" s="114"/>
      <c r="AI748" s="114"/>
      <c r="AJ748" s="130"/>
      <c r="AK748" s="130"/>
      <c r="AL748" s="130"/>
      <c r="AM748" s="130"/>
      <c r="AN748" s="130"/>
      <c r="AO748" s="130"/>
      <c r="AP748" s="130"/>
      <c r="AQ748" s="130"/>
      <c r="AR748" s="130"/>
      <c r="AS748" s="130"/>
      <c r="BC748" s="250"/>
      <c r="BE748" s="119"/>
    </row>
    <row r="749" spans="34:57" ht="14.15" customHeight="1" x14ac:dyDescent="0.35">
      <c r="AH749" s="114"/>
      <c r="AI749" s="114"/>
      <c r="AJ749" s="130"/>
      <c r="AK749" s="130"/>
      <c r="AL749" s="130"/>
      <c r="AM749" s="130"/>
      <c r="AN749" s="130"/>
      <c r="AO749" s="130"/>
      <c r="AP749" s="130"/>
      <c r="AQ749" s="130"/>
      <c r="AR749" s="130"/>
      <c r="AS749" s="130"/>
      <c r="BC749" s="250"/>
      <c r="BE749" s="119"/>
    </row>
    <row r="750" spans="34:57" ht="14.15" customHeight="1" x14ac:dyDescent="0.35">
      <c r="AH750" s="114"/>
      <c r="AI750" s="114"/>
      <c r="AJ750" s="130"/>
      <c r="AK750" s="130"/>
      <c r="AL750" s="130"/>
      <c r="AM750" s="130"/>
      <c r="AN750" s="130"/>
      <c r="AO750" s="130"/>
      <c r="AP750" s="130"/>
      <c r="AQ750" s="130"/>
      <c r="AR750" s="130"/>
      <c r="AS750" s="130"/>
      <c r="BC750" s="250"/>
      <c r="BE750" s="119"/>
    </row>
    <row r="751" spans="34:57" ht="14.15" customHeight="1" x14ac:dyDescent="0.35">
      <c r="AH751" s="114"/>
      <c r="AI751" s="114"/>
      <c r="AJ751" s="130"/>
      <c r="AK751" s="130"/>
      <c r="AL751" s="130"/>
      <c r="AM751" s="130"/>
      <c r="AN751" s="130"/>
      <c r="AO751" s="130"/>
      <c r="AP751" s="130"/>
      <c r="AQ751" s="130"/>
      <c r="AR751" s="130"/>
      <c r="AS751" s="130"/>
      <c r="BC751" s="250"/>
      <c r="BE751" s="119"/>
    </row>
    <row r="752" spans="34:57" ht="14.15" customHeight="1" x14ac:dyDescent="0.35">
      <c r="AH752" s="114"/>
      <c r="AI752" s="114"/>
      <c r="AJ752" s="130"/>
      <c r="AK752" s="130"/>
      <c r="AL752" s="130"/>
      <c r="AM752" s="130"/>
      <c r="AN752" s="130"/>
      <c r="AO752" s="130"/>
      <c r="AP752" s="130"/>
      <c r="AQ752" s="130"/>
      <c r="AR752" s="130"/>
      <c r="AS752" s="130"/>
      <c r="BC752" s="250"/>
      <c r="BE752" s="119"/>
    </row>
    <row r="753" spans="34:57" ht="14.15" customHeight="1" x14ac:dyDescent="0.35">
      <c r="AH753" s="114"/>
      <c r="AI753" s="114"/>
      <c r="AJ753" s="130"/>
      <c r="AK753" s="130"/>
      <c r="AL753" s="130"/>
      <c r="AM753" s="130"/>
      <c r="AN753" s="130"/>
      <c r="AO753" s="130"/>
      <c r="AP753" s="130"/>
      <c r="AQ753" s="130"/>
      <c r="AR753" s="130"/>
      <c r="AS753" s="130"/>
      <c r="BC753" s="250"/>
      <c r="BE753" s="119"/>
    </row>
    <row r="754" spans="34:57" ht="14.15" customHeight="1" x14ac:dyDescent="0.35">
      <c r="AH754" s="114"/>
      <c r="AI754" s="114"/>
      <c r="AJ754" s="130"/>
      <c r="AK754" s="130"/>
      <c r="AL754" s="130"/>
      <c r="AM754" s="130"/>
      <c r="AN754" s="130"/>
      <c r="AO754" s="130"/>
      <c r="AP754" s="130"/>
      <c r="AQ754" s="130"/>
      <c r="AR754" s="130"/>
      <c r="AS754" s="130"/>
      <c r="BC754" s="250"/>
      <c r="BE754" s="119"/>
    </row>
    <row r="755" spans="34:57" ht="14.15" customHeight="1" x14ac:dyDescent="0.35">
      <c r="AH755" s="114"/>
      <c r="AI755" s="114"/>
      <c r="AJ755" s="130"/>
      <c r="AK755" s="130"/>
      <c r="AL755" s="130"/>
      <c r="AM755" s="130"/>
      <c r="AN755" s="130"/>
      <c r="AO755" s="130"/>
      <c r="AP755" s="130"/>
      <c r="AQ755" s="130"/>
      <c r="AR755" s="130"/>
      <c r="AS755" s="130"/>
      <c r="BC755" s="250"/>
      <c r="BE755" s="119"/>
    </row>
    <row r="756" spans="34:57" ht="14.15" customHeight="1" x14ac:dyDescent="0.35">
      <c r="AH756" s="114"/>
      <c r="AI756" s="114"/>
      <c r="AJ756" s="130"/>
      <c r="AK756" s="130"/>
      <c r="AL756" s="130"/>
      <c r="AM756" s="130"/>
      <c r="AN756" s="130"/>
      <c r="AO756" s="130"/>
      <c r="AP756" s="130"/>
      <c r="AQ756" s="130"/>
      <c r="AR756" s="130"/>
      <c r="AS756" s="130"/>
      <c r="BC756" s="250"/>
      <c r="BE756" s="119"/>
    </row>
    <row r="757" spans="34:57" ht="14.15" customHeight="1" x14ac:dyDescent="0.35">
      <c r="AH757" s="114"/>
      <c r="AI757" s="114"/>
      <c r="AJ757" s="130"/>
      <c r="AK757" s="130"/>
      <c r="AL757" s="130"/>
      <c r="AM757" s="130"/>
      <c r="AN757" s="130"/>
      <c r="AO757" s="130"/>
      <c r="AP757" s="130"/>
      <c r="AQ757" s="130"/>
      <c r="AR757" s="130"/>
      <c r="AS757" s="130"/>
      <c r="BC757" s="250"/>
      <c r="BE757" s="119"/>
    </row>
    <row r="758" spans="34:57" ht="14.15" customHeight="1" x14ac:dyDescent="0.35">
      <c r="AH758" s="114"/>
      <c r="AI758" s="114"/>
      <c r="AJ758" s="130"/>
      <c r="AK758" s="130"/>
      <c r="AL758" s="130"/>
      <c r="AM758" s="130"/>
      <c r="AN758" s="130"/>
      <c r="AO758" s="130"/>
      <c r="AP758" s="130"/>
      <c r="AQ758" s="130"/>
      <c r="AR758" s="130"/>
      <c r="AS758" s="130"/>
      <c r="BC758" s="250"/>
      <c r="BE758" s="119"/>
    </row>
    <row r="759" spans="34:57" ht="14.15" customHeight="1" x14ac:dyDescent="0.35">
      <c r="AH759" s="114"/>
      <c r="AI759" s="114"/>
      <c r="AJ759" s="130"/>
      <c r="AK759" s="130"/>
      <c r="AL759" s="130"/>
      <c r="AM759" s="130"/>
      <c r="AN759" s="130"/>
      <c r="AO759" s="130"/>
      <c r="AP759" s="130"/>
      <c r="AQ759" s="130"/>
      <c r="AR759" s="130"/>
      <c r="AS759" s="130"/>
      <c r="BC759" s="250"/>
      <c r="BE759" s="119"/>
    </row>
    <row r="760" spans="34:57" ht="14.15" customHeight="1" x14ac:dyDescent="0.35">
      <c r="AH760" s="114"/>
      <c r="AI760" s="114"/>
      <c r="AJ760" s="130"/>
      <c r="AK760" s="130"/>
      <c r="AL760" s="130"/>
      <c r="AM760" s="130"/>
      <c r="AN760" s="130"/>
      <c r="AO760" s="130"/>
      <c r="AP760" s="130"/>
      <c r="AQ760" s="130"/>
      <c r="AR760" s="130"/>
      <c r="AS760" s="130"/>
      <c r="BC760" s="250"/>
      <c r="BE760" s="119"/>
    </row>
    <row r="761" spans="34:57" ht="14.15" customHeight="1" x14ac:dyDescent="0.35">
      <c r="AH761" s="114"/>
      <c r="AI761" s="114"/>
      <c r="AJ761" s="130"/>
      <c r="AK761" s="130"/>
      <c r="AL761" s="130"/>
      <c r="AM761" s="130"/>
      <c r="AN761" s="130"/>
      <c r="AO761" s="130"/>
      <c r="AP761" s="130"/>
      <c r="AQ761" s="130"/>
      <c r="AR761" s="130"/>
      <c r="AS761" s="130"/>
      <c r="BC761" s="250"/>
      <c r="BE761" s="119"/>
    </row>
    <row r="762" spans="34:57" ht="14.15" customHeight="1" x14ac:dyDescent="0.35">
      <c r="AH762" s="114"/>
      <c r="AI762" s="114"/>
      <c r="AJ762" s="130"/>
      <c r="AK762" s="130"/>
      <c r="AL762" s="130"/>
      <c r="AM762" s="130"/>
      <c r="AN762" s="130"/>
      <c r="AO762" s="130"/>
      <c r="AP762" s="130"/>
      <c r="AQ762" s="130"/>
      <c r="AR762" s="130"/>
      <c r="AS762" s="130"/>
      <c r="BC762" s="250"/>
      <c r="BE762" s="119"/>
    </row>
    <row r="763" spans="34:57" ht="14.15" customHeight="1" x14ac:dyDescent="0.35">
      <c r="AH763" s="114"/>
      <c r="AI763" s="114"/>
      <c r="AJ763" s="130"/>
      <c r="AK763" s="130"/>
      <c r="AL763" s="130"/>
      <c r="AM763" s="130"/>
      <c r="AN763" s="130"/>
      <c r="AO763" s="130"/>
      <c r="AP763" s="130"/>
      <c r="AQ763" s="130"/>
      <c r="AR763" s="130"/>
      <c r="AS763" s="130"/>
      <c r="BC763" s="250"/>
      <c r="BE763" s="119"/>
    </row>
    <row r="764" spans="34:57" ht="14.15" customHeight="1" x14ac:dyDescent="0.35">
      <c r="AH764" s="114"/>
      <c r="AI764" s="114"/>
      <c r="AJ764" s="130"/>
      <c r="AK764" s="130"/>
      <c r="AL764" s="130"/>
      <c r="AM764" s="130"/>
      <c r="AN764" s="130"/>
      <c r="AO764" s="130"/>
      <c r="AP764" s="130"/>
      <c r="AQ764" s="130"/>
      <c r="AR764" s="130"/>
      <c r="AS764" s="130"/>
      <c r="BC764" s="250"/>
      <c r="BE764" s="119"/>
    </row>
    <row r="765" spans="34:57" ht="14.15" customHeight="1" x14ac:dyDescent="0.35">
      <c r="AH765" s="114"/>
      <c r="AI765" s="114"/>
      <c r="AJ765" s="130"/>
      <c r="AK765" s="130"/>
      <c r="AL765" s="130"/>
      <c r="AM765" s="130"/>
      <c r="AN765" s="130"/>
      <c r="AO765" s="130"/>
      <c r="AP765" s="130"/>
      <c r="AQ765" s="130"/>
      <c r="AR765" s="130"/>
      <c r="AS765" s="130"/>
      <c r="BC765" s="250"/>
      <c r="BE765" s="119"/>
    </row>
    <row r="766" spans="34:57" ht="14.15" customHeight="1" x14ac:dyDescent="0.35">
      <c r="AH766" s="114"/>
      <c r="AI766" s="114"/>
      <c r="AJ766" s="130"/>
      <c r="AK766" s="130"/>
      <c r="AL766" s="130"/>
      <c r="AM766" s="130"/>
      <c r="AN766" s="130"/>
      <c r="AO766" s="130"/>
      <c r="AP766" s="130"/>
      <c r="AQ766" s="130"/>
      <c r="AR766" s="130"/>
      <c r="AS766" s="130"/>
      <c r="BC766" s="250"/>
      <c r="BE766" s="119"/>
    </row>
    <row r="767" spans="34:57" ht="14.15" customHeight="1" x14ac:dyDescent="0.35">
      <c r="AH767" s="114"/>
      <c r="AI767" s="114"/>
      <c r="AJ767" s="130"/>
      <c r="AK767" s="130"/>
      <c r="AL767" s="130"/>
      <c r="AM767" s="130"/>
      <c r="AN767" s="130"/>
      <c r="AO767" s="130"/>
      <c r="AP767" s="130"/>
      <c r="AQ767" s="130"/>
      <c r="AR767" s="130"/>
      <c r="AS767" s="130"/>
      <c r="BC767" s="250"/>
      <c r="BE767" s="119"/>
    </row>
    <row r="768" spans="34:57" ht="14.15" customHeight="1" x14ac:dyDescent="0.35">
      <c r="AH768" s="114"/>
      <c r="AI768" s="114"/>
      <c r="AJ768" s="130"/>
      <c r="AK768" s="130"/>
      <c r="AL768" s="130"/>
      <c r="AM768" s="130"/>
      <c r="AN768" s="130"/>
      <c r="AO768" s="130"/>
      <c r="AP768" s="130"/>
      <c r="AQ768" s="130"/>
      <c r="AR768" s="130"/>
      <c r="AS768" s="130"/>
      <c r="BC768" s="250"/>
      <c r="BE768" s="119"/>
    </row>
    <row r="769" spans="34:57" ht="14.15" customHeight="1" x14ac:dyDescent="0.35">
      <c r="AH769" s="114"/>
      <c r="AI769" s="114"/>
      <c r="AJ769" s="130"/>
      <c r="AK769" s="130"/>
      <c r="AL769" s="130"/>
      <c r="AM769" s="130"/>
      <c r="AN769" s="130"/>
      <c r="AO769" s="130"/>
      <c r="AP769" s="130"/>
      <c r="AQ769" s="130"/>
      <c r="AR769" s="130"/>
      <c r="AS769" s="130"/>
      <c r="BC769" s="250"/>
      <c r="BE769" s="119"/>
    </row>
    <row r="770" spans="34:57" ht="14.15" customHeight="1" x14ac:dyDescent="0.35">
      <c r="AH770" s="114"/>
      <c r="AI770" s="114"/>
      <c r="AJ770" s="130"/>
      <c r="AK770" s="130"/>
      <c r="AL770" s="130"/>
      <c r="AM770" s="130"/>
      <c r="AN770" s="130"/>
      <c r="AO770" s="130"/>
      <c r="AP770" s="130"/>
      <c r="AQ770" s="130"/>
      <c r="AR770" s="130"/>
      <c r="AS770" s="130"/>
      <c r="BC770" s="250"/>
      <c r="BE770" s="119"/>
    </row>
    <row r="771" spans="34:57" ht="14.15" customHeight="1" x14ac:dyDescent="0.35">
      <c r="AH771" s="114"/>
      <c r="AI771" s="114"/>
      <c r="AJ771" s="130"/>
      <c r="AK771" s="130"/>
      <c r="AL771" s="130"/>
      <c r="AM771" s="130"/>
      <c r="AN771" s="130"/>
      <c r="AO771" s="130"/>
      <c r="AP771" s="130"/>
      <c r="AQ771" s="130"/>
      <c r="AR771" s="130"/>
      <c r="AS771" s="130"/>
      <c r="BC771" s="250"/>
      <c r="BE771" s="119"/>
    </row>
    <row r="772" spans="34:57" ht="14.15" customHeight="1" x14ac:dyDescent="0.35">
      <c r="AH772" s="114"/>
      <c r="AI772" s="114"/>
      <c r="AJ772" s="130"/>
      <c r="AK772" s="130"/>
      <c r="AL772" s="130"/>
      <c r="AM772" s="130"/>
      <c r="AN772" s="130"/>
      <c r="AO772" s="130"/>
      <c r="AP772" s="130"/>
      <c r="AQ772" s="130"/>
      <c r="AR772" s="130"/>
      <c r="AS772" s="130"/>
      <c r="BC772" s="250"/>
      <c r="BE772" s="119"/>
    </row>
    <row r="773" spans="34:57" ht="14.15" customHeight="1" x14ac:dyDescent="0.35">
      <c r="AH773" s="114"/>
      <c r="AI773" s="114"/>
      <c r="AJ773" s="130"/>
      <c r="AK773" s="130"/>
      <c r="AL773" s="130"/>
      <c r="AM773" s="130"/>
      <c r="AN773" s="130"/>
      <c r="AO773" s="130"/>
      <c r="AP773" s="130"/>
      <c r="AQ773" s="130"/>
      <c r="AR773" s="130"/>
      <c r="AS773" s="130"/>
      <c r="BC773" s="250"/>
      <c r="BE773" s="119"/>
    </row>
    <row r="774" spans="34:57" ht="14.15" customHeight="1" x14ac:dyDescent="0.35">
      <c r="AH774" s="114"/>
      <c r="AI774" s="114"/>
      <c r="AJ774" s="130"/>
      <c r="AK774" s="130"/>
      <c r="AL774" s="130"/>
      <c r="AM774" s="130"/>
      <c r="AN774" s="130"/>
      <c r="AO774" s="130"/>
      <c r="AP774" s="130"/>
      <c r="AQ774" s="130"/>
      <c r="AR774" s="130"/>
      <c r="AS774" s="130"/>
      <c r="BC774" s="250"/>
      <c r="BE774" s="119"/>
    </row>
    <row r="775" spans="34:57" ht="14.15" customHeight="1" x14ac:dyDescent="0.35">
      <c r="AH775" s="114"/>
      <c r="AI775" s="114"/>
      <c r="AJ775" s="130"/>
      <c r="AK775" s="130"/>
      <c r="AL775" s="130"/>
      <c r="AM775" s="130"/>
      <c r="AN775" s="130"/>
      <c r="AO775" s="130"/>
      <c r="AP775" s="130"/>
      <c r="AQ775" s="130"/>
      <c r="AR775" s="130"/>
      <c r="AS775" s="130"/>
      <c r="BC775" s="250"/>
      <c r="BE775" s="119"/>
    </row>
    <row r="776" spans="34:57" ht="14.15" customHeight="1" x14ac:dyDescent="0.35">
      <c r="AH776" s="114"/>
      <c r="AI776" s="114"/>
      <c r="AJ776" s="130"/>
      <c r="AK776" s="130"/>
      <c r="AL776" s="130"/>
      <c r="AM776" s="130"/>
      <c r="AN776" s="130"/>
      <c r="AO776" s="130"/>
      <c r="AP776" s="130"/>
      <c r="AQ776" s="130"/>
      <c r="AR776" s="130"/>
      <c r="AS776" s="130"/>
      <c r="BC776" s="250"/>
      <c r="BE776" s="119"/>
    </row>
    <row r="777" spans="34:57" ht="14.15" customHeight="1" x14ac:dyDescent="0.35">
      <c r="AH777" s="114"/>
      <c r="AI777" s="114"/>
      <c r="AJ777" s="130"/>
      <c r="AK777" s="130"/>
      <c r="AL777" s="130"/>
      <c r="AM777" s="130"/>
      <c r="AN777" s="130"/>
      <c r="AO777" s="130"/>
      <c r="AP777" s="130"/>
      <c r="AQ777" s="130"/>
      <c r="AR777" s="130"/>
      <c r="AS777" s="130"/>
      <c r="BC777" s="250"/>
      <c r="BE777" s="119"/>
    </row>
    <row r="778" spans="34:57" ht="14.15" customHeight="1" x14ac:dyDescent="0.35">
      <c r="AH778" s="114"/>
      <c r="AI778" s="114"/>
      <c r="AJ778" s="130"/>
      <c r="AK778" s="130"/>
      <c r="AL778" s="130"/>
      <c r="AM778" s="130"/>
      <c r="AN778" s="130"/>
      <c r="AO778" s="130"/>
      <c r="AP778" s="130"/>
      <c r="AQ778" s="130"/>
      <c r="AR778" s="130"/>
      <c r="AS778" s="130"/>
      <c r="BC778" s="250"/>
      <c r="BE778" s="119"/>
    </row>
    <row r="779" spans="34:57" ht="14.15" customHeight="1" x14ac:dyDescent="0.35">
      <c r="AH779" s="114"/>
      <c r="AI779" s="114"/>
      <c r="AJ779" s="130"/>
      <c r="AK779" s="130"/>
      <c r="AL779" s="130"/>
      <c r="AM779" s="130"/>
      <c r="AN779" s="130"/>
      <c r="AO779" s="130"/>
      <c r="AP779" s="130"/>
      <c r="AQ779" s="130"/>
      <c r="AR779" s="130"/>
      <c r="AS779" s="130"/>
      <c r="BC779" s="250"/>
      <c r="BE779" s="119"/>
    </row>
    <row r="780" spans="34:57" ht="14.15" customHeight="1" x14ac:dyDescent="0.35">
      <c r="AH780" s="114"/>
      <c r="AI780" s="114"/>
      <c r="AJ780" s="130"/>
      <c r="AK780" s="130"/>
      <c r="AL780" s="130"/>
      <c r="AM780" s="130"/>
      <c r="AN780" s="130"/>
      <c r="AO780" s="130"/>
      <c r="AP780" s="130"/>
      <c r="AQ780" s="130"/>
      <c r="AR780" s="130"/>
      <c r="AS780" s="130"/>
      <c r="BC780" s="250"/>
      <c r="BE780" s="119"/>
    </row>
    <row r="781" spans="34:57" ht="14.15" customHeight="1" x14ac:dyDescent="0.35">
      <c r="AH781" s="114"/>
      <c r="AI781" s="114"/>
      <c r="AJ781" s="130"/>
      <c r="AK781" s="130"/>
      <c r="AL781" s="130"/>
      <c r="AM781" s="130"/>
      <c r="AN781" s="130"/>
      <c r="AO781" s="130"/>
      <c r="AP781" s="130"/>
      <c r="AQ781" s="130"/>
      <c r="AR781" s="130"/>
      <c r="AS781" s="130"/>
      <c r="BC781" s="250"/>
      <c r="BE781" s="119"/>
    </row>
    <row r="782" spans="34:57" ht="14.15" customHeight="1" x14ac:dyDescent="0.35">
      <c r="AH782" s="114"/>
      <c r="AI782" s="114"/>
      <c r="AJ782" s="130"/>
      <c r="AK782" s="130"/>
      <c r="AL782" s="130"/>
      <c r="AM782" s="130"/>
      <c r="AN782" s="130"/>
      <c r="AO782" s="130"/>
      <c r="AP782" s="130"/>
      <c r="AQ782" s="130"/>
      <c r="AR782" s="130"/>
      <c r="AS782" s="130"/>
      <c r="BC782" s="250"/>
      <c r="BE782" s="119"/>
    </row>
    <row r="783" spans="34:57" ht="14.15" customHeight="1" x14ac:dyDescent="0.35">
      <c r="AH783" s="114"/>
      <c r="AI783" s="114"/>
      <c r="AJ783" s="130"/>
      <c r="AK783" s="130"/>
      <c r="AL783" s="130"/>
      <c r="AM783" s="130"/>
      <c r="AN783" s="130"/>
      <c r="AO783" s="130"/>
      <c r="AP783" s="130"/>
      <c r="AQ783" s="130"/>
      <c r="AR783" s="130"/>
      <c r="AS783" s="130"/>
      <c r="BC783" s="250"/>
      <c r="BE783" s="119"/>
    </row>
    <row r="784" spans="34:57" ht="14.15" customHeight="1" x14ac:dyDescent="0.35">
      <c r="AH784" s="114"/>
      <c r="AI784" s="114"/>
      <c r="AJ784" s="130"/>
      <c r="AK784" s="130"/>
      <c r="AL784" s="130"/>
      <c r="AM784" s="130"/>
      <c r="AN784" s="130"/>
      <c r="AO784" s="130"/>
      <c r="AP784" s="130"/>
      <c r="AQ784" s="130"/>
      <c r="AR784" s="130"/>
      <c r="AS784" s="130"/>
      <c r="BC784" s="250"/>
      <c r="BE784" s="119"/>
    </row>
    <row r="785" spans="34:57" ht="14.15" customHeight="1" x14ac:dyDescent="0.35">
      <c r="AH785" s="114"/>
      <c r="AI785" s="114"/>
      <c r="AJ785" s="130"/>
      <c r="AK785" s="130"/>
      <c r="AL785" s="130"/>
      <c r="AM785" s="130"/>
      <c r="AN785" s="130"/>
      <c r="AO785" s="130"/>
      <c r="AP785" s="130"/>
      <c r="AQ785" s="130"/>
      <c r="AR785" s="130"/>
      <c r="AS785" s="130"/>
      <c r="BC785" s="250"/>
      <c r="BE785" s="119"/>
    </row>
    <row r="786" spans="34:57" ht="14.15" customHeight="1" x14ac:dyDescent="0.35">
      <c r="AH786" s="114"/>
      <c r="AI786" s="114"/>
      <c r="AJ786" s="130"/>
      <c r="AK786" s="130"/>
      <c r="AL786" s="130"/>
      <c r="AM786" s="130"/>
      <c r="AN786" s="130"/>
      <c r="AO786" s="130"/>
      <c r="AP786" s="130"/>
      <c r="AQ786" s="130"/>
      <c r="AR786" s="130"/>
      <c r="AS786" s="130"/>
      <c r="BC786" s="250"/>
      <c r="BE786" s="119"/>
    </row>
    <row r="787" spans="34:57" ht="14.15" customHeight="1" x14ac:dyDescent="0.35">
      <c r="AH787" s="114"/>
      <c r="AI787" s="114"/>
      <c r="AJ787" s="130"/>
      <c r="AK787" s="130"/>
      <c r="AL787" s="130"/>
      <c r="AM787" s="130"/>
      <c r="AN787" s="130"/>
      <c r="AO787" s="130"/>
      <c r="AP787" s="130"/>
      <c r="AQ787" s="130"/>
      <c r="AR787" s="130"/>
      <c r="AS787" s="130"/>
      <c r="BC787" s="250"/>
      <c r="BE787" s="119"/>
    </row>
    <row r="788" spans="34:57" ht="14.15" customHeight="1" x14ac:dyDescent="0.35">
      <c r="AH788" s="114"/>
      <c r="AI788" s="114"/>
      <c r="AJ788" s="130"/>
      <c r="AK788" s="130"/>
      <c r="AL788" s="130"/>
      <c r="AM788" s="130"/>
      <c r="AN788" s="130"/>
      <c r="AO788" s="130"/>
      <c r="AP788" s="130"/>
      <c r="AQ788" s="130"/>
      <c r="AR788" s="130"/>
      <c r="AS788" s="130"/>
      <c r="BC788" s="250"/>
      <c r="BE788" s="119"/>
    </row>
    <row r="789" spans="34:57" ht="14.15" customHeight="1" x14ac:dyDescent="0.35">
      <c r="AH789" s="114"/>
      <c r="AI789" s="114"/>
      <c r="AJ789" s="130"/>
      <c r="AK789" s="130"/>
      <c r="AL789" s="130"/>
      <c r="AM789" s="130"/>
      <c r="AN789" s="130"/>
      <c r="AO789" s="130"/>
      <c r="AP789" s="130"/>
      <c r="AQ789" s="130"/>
      <c r="AR789" s="130"/>
      <c r="AS789" s="130"/>
      <c r="BC789" s="250"/>
      <c r="BE789" s="119"/>
    </row>
    <row r="790" spans="34:57" ht="14.15" customHeight="1" x14ac:dyDescent="0.35">
      <c r="AH790" s="114"/>
      <c r="AI790" s="114"/>
      <c r="AJ790" s="130"/>
      <c r="AK790" s="130"/>
      <c r="AL790" s="130"/>
      <c r="AM790" s="130"/>
      <c r="AN790" s="130"/>
      <c r="AO790" s="130"/>
      <c r="AP790" s="130"/>
      <c r="AQ790" s="130"/>
      <c r="AR790" s="130"/>
      <c r="AS790" s="130"/>
      <c r="BC790" s="250"/>
      <c r="BE790" s="119"/>
    </row>
    <row r="791" spans="34:57" ht="14.15" customHeight="1" x14ac:dyDescent="0.35">
      <c r="AH791" s="114"/>
      <c r="AI791" s="114"/>
      <c r="AJ791" s="130"/>
      <c r="AK791" s="130"/>
      <c r="AL791" s="130"/>
      <c r="AM791" s="130"/>
      <c r="AN791" s="130"/>
      <c r="AO791" s="130"/>
      <c r="AP791" s="130"/>
      <c r="AQ791" s="130"/>
      <c r="AR791" s="130"/>
      <c r="AS791" s="130"/>
      <c r="BC791" s="250"/>
      <c r="BE791" s="119"/>
    </row>
    <row r="792" spans="34:57" ht="14.15" customHeight="1" x14ac:dyDescent="0.35">
      <c r="AH792" s="114"/>
      <c r="AI792" s="114"/>
      <c r="AJ792" s="130"/>
      <c r="AK792" s="130"/>
      <c r="AL792" s="130"/>
      <c r="AM792" s="130"/>
      <c r="AN792" s="130"/>
      <c r="AO792" s="130"/>
      <c r="AP792" s="130"/>
      <c r="AQ792" s="130"/>
      <c r="AR792" s="130"/>
      <c r="AS792" s="130"/>
      <c r="BC792" s="250"/>
      <c r="BE792" s="119"/>
    </row>
    <row r="793" spans="34:57" ht="14.15" customHeight="1" x14ac:dyDescent="0.35">
      <c r="AH793" s="114"/>
      <c r="AI793" s="114"/>
      <c r="AJ793" s="130"/>
      <c r="AK793" s="130"/>
      <c r="AL793" s="130"/>
      <c r="AM793" s="130"/>
      <c r="AN793" s="130"/>
      <c r="AO793" s="130"/>
      <c r="AP793" s="130"/>
      <c r="AQ793" s="130"/>
      <c r="AR793" s="130"/>
      <c r="AS793" s="130"/>
      <c r="BC793" s="250"/>
      <c r="BE793" s="119"/>
    </row>
    <row r="794" spans="34:57" ht="14.15" customHeight="1" x14ac:dyDescent="0.35">
      <c r="AH794" s="114"/>
      <c r="AI794" s="114"/>
      <c r="AJ794" s="130"/>
      <c r="AK794" s="130"/>
      <c r="AL794" s="130"/>
      <c r="AM794" s="130"/>
      <c r="AN794" s="130"/>
      <c r="AO794" s="130"/>
      <c r="AP794" s="130"/>
      <c r="AQ794" s="130"/>
      <c r="AR794" s="130"/>
      <c r="AS794" s="130"/>
      <c r="BC794" s="250"/>
      <c r="BE794" s="119"/>
    </row>
    <row r="795" spans="34:57" ht="14.15" customHeight="1" x14ac:dyDescent="0.35">
      <c r="AH795" s="114"/>
      <c r="AI795" s="114"/>
      <c r="AJ795" s="130"/>
      <c r="AK795" s="130"/>
      <c r="AL795" s="130"/>
      <c r="AM795" s="130"/>
      <c r="AN795" s="130"/>
      <c r="AO795" s="130"/>
      <c r="AP795" s="130"/>
      <c r="AQ795" s="130"/>
      <c r="AR795" s="130"/>
      <c r="AS795" s="130"/>
      <c r="BC795" s="250"/>
      <c r="BE795" s="119"/>
    </row>
    <row r="796" spans="34:57" ht="14.15" customHeight="1" x14ac:dyDescent="0.35">
      <c r="AH796" s="114"/>
      <c r="AI796" s="114"/>
      <c r="AJ796" s="130"/>
      <c r="AK796" s="130"/>
      <c r="AL796" s="130"/>
      <c r="AM796" s="130"/>
      <c r="AN796" s="130"/>
      <c r="AO796" s="130"/>
      <c r="AP796" s="130"/>
      <c r="AQ796" s="130"/>
      <c r="AR796" s="130"/>
      <c r="AS796" s="130"/>
      <c r="BC796" s="250"/>
      <c r="BE796" s="119"/>
    </row>
    <row r="797" spans="34:57" ht="14.15" customHeight="1" x14ac:dyDescent="0.35">
      <c r="AH797" s="114"/>
      <c r="AI797" s="114"/>
      <c r="AJ797" s="130"/>
      <c r="AK797" s="130"/>
      <c r="AL797" s="130"/>
      <c r="AM797" s="130"/>
      <c r="AN797" s="130"/>
      <c r="AO797" s="130"/>
      <c r="AP797" s="130"/>
      <c r="AQ797" s="130"/>
      <c r="AR797" s="130"/>
      <c r="AS797" s="130"/>
      <c r="BC797" s="250"/>
      <c r="BE797" s="119"/>
    </row>
    <row r="798" spans="34:57" ht="14.15" customHeight="1" x14ac:dyDescent="0.35">
      <c r="AH798" s="114"/>
      <c r="AI798" s="114"/>
      <c r="AJ798" s="130"/>
      <c r="AK798" s="130"/>
      <c r="AL798" s="130"/>
      <c r="AM798" s="130"/>
      <c r="AN798" s="130"/>
      <c r="AO798" s="130"/>
      <c r="AP798" s="130"/>
      <c r="AQ798" s="130"/>
      <c r="AR798" s="130"/>
      <c r="AS798" s="130"/>
      <c r="BC798" s="250"/>
      <c r="BE798" s="119"/>
    </row>
    <row r="799" spans="34:57" ht="14.15" customHeight="1" x14ac:dyDescent="0.35">
      <c r="AH799" s="114"/>
      <c r="AI799" s="114"/>
      <c r="AJ799" s="130"/>
      <c r="AK799" s="130"/>
      <c r="AL799" s="130"/>
      <c r="AM799" s="130"/>
      <c r="AN799" s="130"/>
      <c r="AO799" s="130"/>
      <c r="AP799" s="130"/>
      <c r="AQ799" s="130"/>
      <c r="AR799" s="130"/>
      <c r="AS799" s="130"/>
      <c r="BC799" s="250"/>
      <c r="BE799" s="119"/>
    </row>
    <row r="800" spans="34:57" ht="14.15" customHeight="1" x14ac:dyDescent="0.35">
      <c r="AH800" s="114"/>
      <c r="AI800" s="114"/>
      <c r="AJ800" s="130"/>
      <c r="AK800" s="130"/>
      <c r="AL800" s="130"/>
      <c r="AM800" s="130"/>
      <c r="AN800" s="130"/>
      <c r="AO800" s="130"/>
      <c r="AP800" s="130"/>
      <c r="AQ800" s="130"/>
      <c r="AR800" s="130"/>
      <c r="AS800" s="130"/>
      <c r="BC800" s="250"/>
      <c r="BE800" s="119"/>
    </row>
    <row r="801" spans="34:57" ht="14.15" customHeight="1" x14ac:dyDescent="0.35">
      <c r="AH801" s="114"/>
      <c r="AI801" s="114"/>
      <c r="AJ801" s="130"/>
      <c r="AK801" s="130"/>
      <c r="AL801" s="130"/>
      <c r="AM801" s="130"/>
      <c r="AN801" s="130"/>
      <c r="AO801" s="130"/>
      <c r="AP801" s="130"/>
      <c r="AQ801" s="130"/>
      <c r="AR801" s="130"/>
      <c r="AS801" s="130"/>
      <c r="BC801" s="250"/>
      <c r="BE801" s="119"/>
    </row>
    <row r="802" spans="34:57" ht="14.15" customHeight="1" x14ac:dyDescent="0.35">
      <c r="AH802" s="114"/>
      <c r="AI802" s="114"/>
      <c r="AJ802" s="130"/>
      <c r="AK802" s="130"/>
      <c r="AL802" s="130"/>
      <c r="AM802" s="130"/>
      <c r="AN802" s="130"/>
      <c r="AO802" s="130"/>
      <c r="AP802" s="130"/>
      <c r="AQ802" s="130"/>
      <c r="AR802" s="130"/>
      <c r="AS802" s="130"/>
      <c r="BC802" s="250"/>
      <c r="BE802" s="119"/>
    </row>
    <row r="803" spans="34:57" ht="14.15" customHeight="1" x14ac:dyDescent="0.35">
      <c r="AH803" s="114"/>
      <c r="AI803" s="114"/>
      <c r="AJ803" s="130"/>
      <c r="AK803" s="130"/>
      <c r="AL803" s="130"/>
      <c r="AM803" s="130"/>
      <c r="AN803" s="130"/>
      <c r="AO803" s="130"/>
      <c r="AP803" s="130"/>
      <c r="AQ803" s="130"/>
      <c r="AR803" s="130"/>
      <c r="AS803" s="130"/>
      <c r="BC803" s="250"/>
      <c r="BE803" s="119"/>
    </row>
    <row r="804" spans="34:57" ht="14.15" customHeight="1" x14ac:dyDescent="0.35">
      <c r="AH804" s="114"/>
      <c r="AI804" s="114"/>
      <c r="AJ804" s="130"/>
      <c r="AK804" s="130"/>
      <c r="AL804" s="130"/>
      <c r="AM804" s="130"/>
      <c r="AN804" s="130"/>
      <c r="AO804" s="130"/>
      <c r="AP804" s="130"/>
      <c r="AQ804" s="130"/>
      <c r="AR804" s="130"/>
      <c r="AS804" s="130"/>
      <c r="BC804" s="250"/>
      <c r="BE804" s="119"/>
    </row>
    <row r="805" spans="34:57" ht="14.15" customHeight="1" x14ac:dyDescent="0.35">
      <c r="AH805" s="114"/>
      <c r="AI805" s="114"/>
      <c r="AJ805" s="130"/>
      <c r="AK805" s="130"/>
      <c r="AL805" s="130"/>
      <c r="AM805" s="130"/>
      <c r="AN805" s="130"/>
      <c r="AO805" s="130"/>
      <c r="AP805" s="130"/>
      <c r="AQ805" s="130"/>
      <c r="AR805" s="130"/>
      <c r="AS805" s="130"/>
      <c r="BC805" s="250"/>
      <c r="BE805" s="119"/>
    </row>
    <row r="806" spans="34:57" ht="14.15" customHeight="1" x14ac:dyDescent="0.35">
      <c r="AH806" s="114"/>
      <c r="AI806" s="114"/>
      <c r="AJ806" s="130"/>
      <c r="AK806" s="130"/>
      <c r="AL806" s="130"/>
      <c r="AM806" s="130"/>
      <c r="AN806" s="130"/>
      <c r="AO806" s="130"/>
      <c r="AP806" s="130"/>
      <c r="AQ806" s="130"/>
      <c r="AR806" s="130"/>
      <c r="AS806" s="130"/>
      <c r="BC806" s="250"/>
      <c r="BE806" s="119"/>
    </row>
    <row r="807" spans="34:57" ht="14.15" customHeight="1" x14ac:dyDescent="0.35">
      <c r="AH807" s="114"/>
      <c r="AI807" s="114"/>
      <c r="AJ807" s="130"/>
      <c r="AK807" s="130"/>
      <c r="AL807" s="130"/>
      <c r="AM807" s="130"/>
      <c r="AN807" s="130"/>
      <c r="AO807" s="130"/>
      <c r="AP807" s="130"/>
      <c r="AQ807" s="130"/>
      <c r="AR807" s="130"/>
      <c r="AS807" s="130"/>
      <c r="BC807" s="250"/>
      <c r="BE807" s="119"/>
    </row>
    <row r="808" spans="34:57" ht="14.15" customHeight="1" x14ac:dyDescent="0.35">
      <c r="AH808" s="114"/>
      <c r="AI808" s="114"/>
      <c r="AJ808" s="130"/>
      <c r="AK808" s="130"/>
      <c r="AL808" s="130"/>
      <c r="AM808" s="130"/>
      <c r="AN808" s="130"/>
      <c r="AO808" s="130"/>
      <c r="AP808" s="130"/>
      <c r="AQ808" s="130"/>
      <c r="AR808" s="130"/>
      <c r="AS808" s="130"/>
      <c r="BC808" s="250"/>
      <c r="BE808" s="119"/>
    </row>
    <row r="809" spans="34:57" ht="14.15" customHeight="1" x14ac:dyDescent="0.35">
      <c r="AH809" s="114"/>
      <c r="AI809" s="114"/>
      <c r="AJ809" s="130"/>
      <c r="AK809" s="130"/>
      <c r="AL809" s="130"/>
      <c r="AM809" s="130"/>
      <c r="AN809" s="130"/>
      <c r="AO809" s="130"/>
      <c r="AP809" s="130"/>
      <c r="AQ809" s="130"/>
      <c r="AR809" s="130"/>
      <c r="AS809" s="130"/>
      <c r="BC809" s="250"/>
      <c r="BE809" s="119"/>
    </row>
    <row r="810" spans="34:57" ht="14.15" customHeight="1" x14ac:dyDescent="0.35">
      <c r="AH810" s="114"/>
      <c r="AI810" s="114"/>
      <c r="AJ810" s="130"/>
      <c r="AK810" s="130"/>
      <c r="AL810" s="130"/>
      <c r="AM810" s="130"/>
      <c r="AN810" s="130"/>
      <c r="AO810" s="130"/>
      <c r="AP810" s="130"/>
      <c r="AQ810" s="130"/>
      <c r="AR810" s="130"/>
      <c r="AS810" s="130"/>
      <c r="BC810" s="250"/>
      <c r="BE810" s="119"/>
    </row>
    <row r="811" spans="34:57" ht="14.15" customHeight="1" x14ac:dyDescent="0.35">
      <c r="AH811" s="114"/>
      <c r="AI811" s="114"/>
      <c r="AJ811" s="130"/>
      <c r="AK811" s="130"/>
      <c r="AL811" s="130"/>
      <c r="AM811" s="130"/>
      <c r="AN811" s="130"/>
      <c r="AO811" s="130"/>
      <c r="AP811" s="130"/>
      <c r="AQ811" s="130"/>
      <c r="AR811" s="130"/>
      <c r="AS811" s="130"/>
      <c r="BC811" s="250"/>
      <c r="BE811" s="119"/>
    </row>
    <row r="812" spans="34:57" ht="14.15" customHeight="1" x14ac:dyDescent="0.35">
      <c r="AH812" s="114"/>
      <c r="AI812" s="114"/>
      <c r="AJ812" s="130"/>
      <c r="AK812" s="130"/>
      <c r="AL812" s="130"/>
      <c r="AM812" s="130"/>
      <c r="AN812" s="130"/>
      <c r="AO812" s="130"/>
      <c r="AP812" s="130"/>
      <c r="AQ812" s="130"/>
      <c r="AR812" s="130"/>
      <c r="AS812" s="130"/>
      <c r="BC812" s="250"/>
      <c r="BE812" s="119"/>
    </row>
    <row r="813" spans="34:57" ht="14.15" customHeight="1" x14ac:dyDescent="0.35">
      <c r="AH813" s="114"/>
      <c r="AI813" s="114"/>
      <c r="AJ813" s="130"/>
      <c r="AK813" s="130"/>
      <c r="AL813" s="130"/>
      <c r="AM813" s="130"/>
      <c r="AN813" s="130"/>
      <c r="AO813" s="130"/>
      <c r="AP813" s="130"/>
      <c r="AQ813" s="130"/>
      <c r="AR813" s="130"/>
      <c r="AS813" s="130"/>
      <c r="BC813" s="250"/>
      <c r="BE813" s="119"/>
    </row>
    <row r="814" spans="34:57" ht="14.15" customHeight="1" x14ac:dyDescent="0.35">
      <c r="AH814" s="114"/>
      <c r="AI814" s="114"/>
      <c r="AJ814" s="130"/>
      <c r="AK814" s="130"/>
      <c r="AL814" s="130"/>
      <c r="AM814" s="130"/>
      <c r="AN814" s="130"/>
      <c r="AO814" s="130"/>
      <c r="AP814" s="130"/>
      <c r="AQ814" s="130"/>
      <c r="AR814" s="130"/>
      <c r="AS814" s="130"/>
      <c r="BC814" s="250"/>
      <c r="BE814" s="119"/>
    </row>
    <row r="815" spans="34:57" ht="14.15" customHeight="1" x14ac:dyDescent="0.35">
      <c r="AH815" s="114"/>
      <c r="AI815" s="114"/>
      <c r="AJ815" s="130"/>
      <c r="AK815" s="130"/>
      <c r="AL815" s="130"/>
      <c r="AM815" s="130"/>
      <c r="AN815" s="130"/>
      <c r="AO815" s="130"/>
      <c r="AP815" s="130"/>
      <c r="AQ815" s="130"/>
      <c r="AR815" s="130"/>
      <c r="AS815" s="130"/>
      <c r="BC815" s="250"/>
      <c r="BE815" s="119"/>
    </row>
    <row r="816" spans="34:57" ht="14.15" customHeight="1" x14ac:dyDescent="0.35">
      <c r="AH816" s="114"/>
      <c r="AI816" s="114"/>
      <c r="AJ816" s="130"/>
      <c r="AK816" s="130"/>
      <c r="AL816" s="130"/>
      <c r="AM816" s="130"/>
      <c r="AN816" s="130"/>
      <c r="AO816" s="130"/>
      <c r="AP816" s="130"/>
      <c r="AQ816" s="130"/>
      <c r="AR816" s="130"/>
      <c r="AS816" s="130"/>
      <c r="BC816" s="250"/>
      <c r="BE816" s="119"/>
    </row>
    <row r="817" spans="34:57" ht="14.15" customHeight="1" x14ac:dyDescent="0.35">
      <c r="AH817" s="114"/>
      <c r="AI817" s="114"/>
      <c r="AJ817" s="130"/>
      <c r="AK817" s="130"/>
      <c r="AL817" s="130"/>
      <c r="AM817" s="130"/>
      <c r="AN817" s="130"/>
      <c r="AO817" s="130"/>
      <c r="AP817" s="130"/>
      <c r="AQ817" s="130"/>
      <c r="AR817" s="130"/>
      <c r="AS817" s="130"/>
      <c r="BC817" s="250"/>
      <c r="BE817" s="119"/>
    </row>
    <row r="818" spans="34:57" ht="14.15" customHeight="1" x14ac:dyDescent="0.35">
      <c r="AH818" s="114"/>
      <c r="AI818" s="114"/>
      <c r="AJ818" s="130"/>
      <c r="AK818" s="130"/>
      <c r="AL818" s="130"/>
      <c r="AM818" s="130"/>
      <c r="AN818" s="130"/>
      <c r="AO818" s="130"/>
      <c r="AP818" s="130"/>
      <c r="AQ818" s="130"/>
      <c r="AR818" s="130"/>
      <c r="AS818" s="130"/>
      <c r="BC818" s="250"/>
      <c r="BE818" s="119"/>
    </row>
    <row r="819" spans="34:57" ht="14.15" customHeight="1" x14ac:dyDescent="0.35">
      <c r="AH819" s="114"/>
      <c r="AI819" s="114"/>
      <c r="AJ819" s="130"/>
      <c r="AK819" s="130"/>
      <c r="AL819" s="130"/>
      <c r="AM819" s="130"/>
      <c r="AN819" s="130"/>
      <c r="AO819" s="130"/>
      <c r="AP819" s="130"/>
      <c r="AQ819" s="130"/>
      <c r="AR819" s="130"/>
      <c r="AS819" s="130"/>
      <c r="BC819" s="250"/>
      <c r="BE819" s="119"/>
    </row>
    <row r="820" spans="34:57" ht="14.15" customHeight="1" x14ac:dyDescent="0.35">
      <c r="AH820" s="114"/>
      <c r="AI820" s="114"/>
      <c r="AJ820" s="130"/>
      <c r="AK820" s="130"/>
      <c r="AL820" s="130"/>
      <c r="AM820" s="130"/>
      <c r="AN820" s="130"/>
      <c r="AO820" s="130"/>
      <c r="AP820" s="130"/>
      <c r="AQ820" s="130"/>
      <c r="AR820" s="130"/>
      <c r="AS820" s="130"/>
      <c r="BC820" s="250"/>
      <c r="BE820" s="119"/>
    </row>
    <row r="821" spans="34:57" ht="14.15" customHeight="1" x14ac:dyDescent="0.35">
      <c r="AH821" s="114"/>
      <c r="AI821" s="114"/>
      <c r="AJ821" s="130"/>
      <c r="AK821" s="130"/>
      <c r="AL821" s="130"/>
      <c r="AM821" s="130"/>
      <c r="AN821" s="130"/>
      <c r="AO821" s="130"/>
      <c r="AP821" s="130"/>
      <c r="AQ821" s="130"/>
      <c r="AR821" s="130"/>
      <c r="AS821" s="130"/>
      <c r="BC821" s="250"/>
      <c r="BE821" s="119"/>
    </row>
    <row r="822" spans="34:57" ht="14.15" customHeight="1" x14ac:dyDescent="0.35">
      <c r="AH822" s="114"/>
      <c r="AI822" s="114"/>
      <c r="AJ822" s="130"/>
      <c r="AK822" s="130"/>
      <c r="AL822" s="130"/>
      <c r="AM822" s="130"/>
      <c r="AN822" s="130"/>
      <c r="AO822" s="130"/>
      <c r="AP822" s="130"/>
      <c r="AQ822" s="130"/>
      <c r="AR822" s="130"/>
      <c r="AS822" s="130"/>
      <c r="BC822" s="250"/>
      <c r="BE822" s="119"/>
    </row>
    <row r="823" spans="34:57" ht="14.15" customHeight="1" x14ac:dyDescent="0.35">
      <c r="AH823" s="114"/>
      <c r="AI823" s="114"/>
      <c r="AJ823" s="130"/>
      <c r="AK823" s="130"/>
      <c r="AL823" s="130"/>
      <c r="AM823" s="130"/>
      <c r="AN823" s="130"/>
      <c r="AO823" s="130"/>
      <c r="AP823" s="130"/>
      <c r="AQ823" s="130"/>
      <c r="AR823" s="130"/>
      <c r="AS823" s="130"/>
      <c r="BC823" s="250"/>
      <c r="BE823" s="119"/>
    </row>
    <row r="824" spans="34:57" ht="14.15" customHeight="1" x14ac:dyDescent="0.35">
      <c r="AH824" s="114"/>
      <c r="AI824" s="114"/>
      <c r="AJ824" s="130"/>
      <c r="AK824" s="130"/>
      <c r="AL824" s="130"/>
      <c r="AM824" s="130"/>
      <c r="AN824" s="130"/>
      <c r="AO824" s="130"/>
      <c r="AP824" s="130"/>
      <c r="AQ824" s="130"/>
      <c r="AR824" s="130"/>
      <c r="AS824" s="130"/>
      <c r="BC824" s="250"/>
      <c r="BE824" s="119"/>
    </row>
    <row r="825" spans="34:57" ht="14.15" customHeight="1" x14ac:dyDescent="0.35">
      <c r="AH825" s="114"/>
      <c r="AI825" s="114"/>
      <c r="AJ825" s="130"/>
      <c r="AK825" s="130"/>
      <c r="AL825" s="130"/>
      <c r="AM825" s="130"/>
      <c r="AN825" s="130"/>
      <c r="AO825" s="130"/>
      <c r="AP825" s="130"/>
      <c r="AQ825" s="130"/>
      <c r="AR825" s="130"/>
      <c r="AS825" s="130"/>
      <c r="BC825" s="250"/>
      <c r="BE825" s="119"/>
    </row>
    <row r="826" spans="34:57" ht="14.15" customHeight="1" x14ac:dyDescent="0.35">
      <c r="AH826" s="114"/>
      <c r="AI826" s="114"/>
      <c r="AJ826" s="130"/>
      <c r="AK826" s="130"/>
      <c r="AL826" s="130"/>
      <c r="AM826" s="130"/>
      <c r="AN826" s="130"/>
      <c r="AO826" s="130"/>
      <c r="AP826" s="130"/>
      <c r="AQ826" s="130"/>
      <c r="AR826" s="130"/>
      <c r="AS826" s="130"/>
      <c r="BC826" s="250"/>
      <c r="BE826" s="119"/>
    </row>
    <row r="827" spans="34:57" ht="14.15" customHeight="1" x14ac:dyDescent="0.35">
      <c r="AH827" s="114"/>
      <c r="AI827" s="114"/>
      <c r="AJ827" s="130"/>
      <c r="AK827" s="130"/>
      <c r="AL827" s="130"/>
      <c r="AM827" s="130"/>
      <c r="AN827" s="130"/>
      <c r="AO827" s="130"/>
      <c r="AP827" s="130"/>
      <c r="AQ827" s="130"/>
      <c r="AR827" s="130"/>
      <c r="AS827" s="130"/>
      <c r="BC827" s="250"/>
      <c r="BE827" s="119"/>
    </row>
    <row r="828" spans="34:57" ht="14.15" customHeight="1" x14ac:dyDescent="0.35">
      <c r="AH828" s="114"/>
      <c r="AI828" s="114"/>
      <c r="AJ828" s="130"/>
      <c r="AK828" s="130"/>
      <c r="AL828" s="130"/>
      <c r="AM828" s="130"/>
      <c r="AN828" s="130"/>
      <c r="AO828" s="130"/>
      <c r="AP828" s="130"/>
      <c r="AQ828" s="130"/>
      <c r="AR828" s="130"/>
      <c r="AS828" s="130"/>
      <c r="BC828" s="250"/>
      <c r="BE828" s="119"/>
    </row>
    <row r="829" spans="34:57" ht="14.15" customHeight="1" x14ac:dyDescent="0.35">
      <c r="AH829" s="114"/>
      <c r="AI829" s="114"/>
      <c r="AJ829" s="130"/>
      <c r="AK829" s="130"/>
      <c r="AL829" s="130"/>
      <c r="AM829" s="130"/>
      <c r="AN829" s="130"/>
      <c r="AO829" s="130"/>
      <c r="AP829" s="130"/>
      <c r="AQ829" s="130"/>
      <c r="AR829" s="130"/>
      <c r="AS829" s="130"/>
      <c r="BC829" s="250"/>
      <c r="BE829" s="119"/>
    </row>
    <row r="830" spans="34:57" ht="14.15" customHeight="1" x14ac:dyDescent="0.35">
      <c r="AH830" s="114"/>
      <c r="AI830" s="114"/>
      <c r="AJ830" s="130"/>
      <c r="AK830" s="130"/>
      <c r="AL830" s="130"/>
      <c r="AM830" s="130"/>
      <c r="AN830" s="130"/>
      <c r="AO830" s="130"/>
      <c r="AP830" s="130"/>
      <c r="AQ830" s="130"/>
      <c r="AR830" s="130"/>
      <c r="AS830" s="130"/>
      <c r="BC830" s="250"/>
      <c r="BE830" s="119"/>
    </row>
    <row r="831" spans="34:57" ht="14.15" customHeight="1" x14ac:dyDescent="0.35">
      <c r="AH831" s="114"/>
      <c r="AI831" s="114"/>
      <c r="AJ831" s="130"/>
      <c r="AK831" s="130"/>
      <c r="AL831" s="130"/>
      <c r="AM831" s="130"/>
      <c r="AN831" s="130"/>
      <c r="AO831" s="130"/>
      <c r="AP831" s="130"/>
      <c r="AQ831" s="130"/>
      <c r="AR831" s="130"/>
      <c r="AS831" s="130"/>
      <c r="BC831" s="250"/>
      <c r="BE831" s="119"/>
    </row>
    <row r="832" spans="34:57" ht="14.15" customHeight="1" x14ac:dyDescent="0.35">
      <c r="AH832" s="114"/>
      <c r="AI832" s="114"/>
      <c r="AJ832" s="130"/>
      <c r="AK832" s="130"/>
      <c r="AL832" s="130"/>
      <c r="AM832" s="130"/>
      <c r="AN832" s="130"/>
      <c r="AO832" s="130"/>
      <c r="AP832" s="130"/>
      <c r="AQ832" s="130"/>
      <c r="AR832" s="130"/>
      <c r="AS832" s="130"/>
      <c r="BC832" s="250"/>
      <c r="BE832" s="119"/>
    </row>
    <row r="833" spans="34:57" ht="14.15" customHeight="1" x14ac:dyDescent="0.35">
      <c r="AH833" s="114"/>
      <c r="AI833" s="114"/>
      <c r="AJ833" s="130"/>
      <c r="AK833" s="130"/>
      <c r="AL833" s="130"/>
      <c r="AM833" s="130"/>
      <c r="AN833" s="130"/>
      <c r="AO833" s="130"/>
      <c r="AP833" s="130"/>
      <c r="AQ833" s="130"/>
      <c r="AR833" s="130"/>
      <c r="AS833" s="130"/>
      <c r="BC833" s="250"/>
      <c r="BE833" s="119"/>
    </row>
    <row r="834" spans="34:57" ht="14.15" customHeight="1" x14ac:dyDescent="0.35">
      <c r="AH834" s="114"/>
      <c r="AI834" s="114"/>
      <c r="AJ834" s="130"/>
      <c r="AK834" s="130"/>
      <c r="AL834" s="130"/>
      <c r="AM834" s="130"/>
      <c r="AN834" s="130"/>
      <c r="AO834" s="130"/>
      <c r="AP834" s="130"/>
      <c r="AQ834" s="130"/>
      <c r="AR834" s="130"/>
      <c r="AS834" s="130"/>
      <c r="BC834" s="250"/>
      <c r="BE834" s="119"/>
    </row>
    <row r="835" spans="34:57" ht="14.15" customHeight="1" x14ac:dyDescent="0.35">
      <c r="AH835" s="114"/>
      <c r="AI835" s="114"/>
      <c r="AJ835" s="130"/>
      <c r="AK835" s="130"/>
      <c r="AL835" s="130"/>
      <c r="AM835" s="130"/>
      <c r="AN835" s="130"/>
      <c r="AO835" s="130"/>
      <c r="AP835" s="130"/>
      <c r="AQ835" s="130"/>
      <c r="AR835" s="130"/>
      <c r="AS835" s="130"/>
      <c r="BC835" s="250"/>
      <c r="BE835" s="119"/>
    </row>
    <row r="836" spans="34:57" ht="14.15" customHeight="1" x14ac:dyDescent="0.35">
      <c r="AH836" s="114"/>
      <c r="AI836" s="114"/>
      <c r="AJ836" s="130"/>
      <c r="AK836" s="130"/>
      <c r="AL836" s="130"/>
      <c r="AM836" s="130"/>
      <c r="AN836" s="130"/>
      <c r="AO836" s="130"/>
      <c r="AP836" s="130"/>
      <c r="AQ836" s="130"/>
      <c r="AR836" s="130"/>
      <c r="AS836" s="130"/>
      <c r="BC836" s="250"/>
      <c r="BE836" s="119"/>
    </row>
    <row r="837" spans="34:57" ht="14.15" customHeight="1" x14ac:dyDescent="0.35">
      <c r="AH837" s="114"/>
      <c r="AI837" s="114"/>
      <c r="AJ837" s="130"/>
      <c r="AK837" s="130"/>
      <c r="AL837" s="130"/>
      <c r="AM837" s="130"/>
      <c r="AN837" s="130"/>
      <c r="AO837" s="130"/>
      <c r="AP837" s="130"/>
      <c r="AQ837" s="130"/>
      <c r="AR837" s="130"/>
      <c r="AS837" s="130"/>
      <c r="BC837" s="250"/>
      <c r="BE837" s="119"/>
    </row>
    <row r="838" spans="34:57" ht="14.15" customHeight="1" x14ac:dyDescent="0.35">
      <c r="AH838" s="114"/>
      <c r="AI838" s="114"/>
      <c r="AJ838" s="130"/>
      <c r="AK838" s="130"/>
      <c r="AL838" s="130"/>
      <c r="AM838" s="130"/>
      <c r="AN838" s="130"/>
      <c r="AO838" s="130"/>
      <c r="AP838" s="130"/>
      <c r="AQ838" s="130"/>
      <c r="AR838" s="130"/>
      <c r="AS838" s="130"/>
      <c r="BC838" s="250"/>
      <c r="BE838" s="119"/>
    </row>
    <row r="839" spans="34:57" ht="14.15" customHeight="1" x14ac:dyDescent="0.35">
      <c r="AH839" s="114"/>
      <c r="AI839" s="114"/>
      <c r="AJ839" s="130"/>
      <c r="AK839" s="130"/>
      <c r="AL839" s="130"/>
      <c r="AM839" s="130"/>
      <c r="AN839" s="130"/>
      <c r="AO839" s="130"/>
      <c r="AP839" s="130"/>
      <c r="AQ839" s="130"/>
      <c r="AR839" s="130"/>
      <c r="AS839" s="130"/>
      <c r="BC839" s="250"/>
      <c r="BE839" s="119"/>
    </row>
    <row r="840" spans="34:57" ht="14.15" customHeight="1" x14ac:dyDescent="0.35">
      <c r="AH840" s="114"/>
      <c r="AI840" s="114"/>
      <c r="AJ840" s="130"/>
      <c r="AK840" s="130"/>
      <c r="AL840" s="130"/>
      <c r="AM840" s="130"/>
      <c r="AN840" s="130"/>
      <c r="AO840" s="130"/>
      <c r="AP840" s="130"/>
      <c r="AQ840" s="130"/>
      <c r="AR840" s="130"/>
      <c r="AS840" s="130"/>
      <c r="BC840" s="250"/>
      <c r="BE840" s="119"/>
    </row>
    <row r="841" spans="34:57" ht="14.15" customHeight="1" x14ac:dyDescent="0.35">
      <c r="AH841" s="114"/>
      <c r="AI841" s="114"/>
      <c r="AJ841" s="130"/>
      <c r="AK841" s="130"/>
      <c r="AL841" s="130"/>
      <c r="AM841" s="130"/>
      <c r="AN841" s="130"/>
      <c r="AO841" s="130"/>
      <c r="AP841" s="130"/>
      <c r="AQ841" s="130"/>
      <c r="AR841" s="130"/>
      <c r="AS841" s="130"/>
      <c r="BC841" s="250"/>
      <c r="BE841" s="119"/>
    </row>
    <row r="842" spans="34:57" ht="14.15" customHeight="1" x14ac:dyDescent="0.35">
      <c r="AH842" s="114"/>
      <c r="AI842" s="114"/>
      <c r="AJ842" s="130"/>
      <c r="AK842" s="130"/>
      <c r="AL842" s="130"/>
      <c r="AM842" s="130"/>
      <c r="AN842" s="130"/>
      <c r="AO842" s="130"/>
      <c r="AP842" s="130"/>
      <c r="AQ842" s="130"/>
      <c r="AR842" s="130"/>
      <c r="AS842" s="130"/>
      <c r="BC842" s="250"/>
      <c r="BE842" s="119"/>
    </row>
    <row r="843" spans="34:57" ht="14.15" customHeight="1" x14ac:dyDescent="0.35">
      <c r="AH843" s="114"/>
      <c r="AI843" s="114"/>
      <c r="AJ843" s="130"/>
      <c r="AK843" s="130"/>
      <c r="AL843" s="130"/>
      <c r="AM843" s="130"/>
      <c r="AN843" s="130"/>
      <c r="AO843" s="130"/>
      <c r="AP843" s="130"/>
      <c r="AQ843" s="130"/>
      <c r="AR843" s="130"/>
      <c r="AS843" s="130"/>
      <c r="BC843" s="250"/>
      <c r="BE843" s="119"/>
    </row>
    <row r="844" spans="34:57" ht="14.15" customHeight="1" x14ac:dyDescent="0.35">
      <c r="AH844" s="114"/>
      <c r="AI844" s="114"/>
      <c r="AJ844" s="130"/>
      <c r="AK844" s="130"/>
      <c r="AL844" s="130"/>
      <c r="AM844" s="130"/>
      <c r="AN844" s="130"/>
      <c r="AO844" s="130"/>
      <c r="AP844" s="130"/>
      <c r="AQ844" s="130"/>
      <c r="AR844" s="130"/>
      <c r="AS844" s="130"/>
      <c r="BC844" s="250"/>
      <c r="BE844" s="119"/>
    </row>
    <row r="845" spans="34:57" ht="14.15" customHeight="1" x14ac:dyDescent="0.35">
      <c r="AH845" s="114"/>
      <c r="AI845" s="114"/>
      <c r="AJ845" s="130"/>
      <c r="AK845" s="130"/>
      <c r="AL845" s="130"/>
      <c r="AM845" s="130"/>
      <c r="AN845" s="130"/>
      <c r="AO845" s="130"/>
      <c r="AP845" s="130"/>
      <c r="AQ845" s="130"/>
      <c r="AR845" s="130"/>
      <c r="AS845" s="130"/>
      <c r="BC845" s="250"/>
      <c r="BE845" s="119"/>
    </row>
    <row r="846" spans="34:57" ht="14.15" customHeight="1" x14ac:dyDescent="0.35">
      <c r="AH846" s="114"/>
      <c r="AI846" s="114"/>
      <c r="AJ846" s="130"/>
      <c r="AK846" s="130"/>
      <c r="AL846" s="130"/>
      <c r="AM846" s="130"/>
      <c r="AN846" s="130"/>
      <c r="AO846" s="130"/>
      <c r="AP846" s="130"/>
      <c r="AQ846" s="130"/>
      <c r="AR846" s="130"/>
      <c r="AS846" s="130"/>
      <c r="BC846" s="250"/>
      <c r="BE846" s="119"/>
    </row>
    <row r="847" spans="34:57" ht="14.15" customHeight="1" x14ac:dyDescent="0.35">
      <c r="AH847" s="114"/>
      <c r="AI847" s="114"/>
      <c r="AJ847" s="130"/>
      <c r="AK847" s="130"/>
      <c r="AL847" s="130"/>
      <c r="AM847" s="130"/>
      <c r="AN847" s="130"/>
      <c r="AO847" s="130"/>
      <c r="AP847" s="130"/>
      <c r="AQ847" s="130"/>
      <c r="AR847" s="130"/>
      <c r="AS847" s="130"/>
      <c r="BC847" s="250"/>
      <c r="BE847" s="119"/>
    </row>
    <row r="848" spans="34:57" ht="14.15" customHeight="1" x14ac:dyDescent="0.35">
      <c r="AH848" s="114"/>
      <c r="AI848" s="114"/>
      <c r="AJ848" s="130"/>
      <c r="AK848" s="130"/>
      <c r="AL848" s="130"/>
      <c r="AM848" s="130"/>
      <c r="AN848" s="130"/>
      <c r="AO848" s="130"/>
      <c r="AP848" s="130"/>
      <c r="AQ848" s="130"/>
      <c r="AR848" s="130"/>
      <c r="AS848" s="130"/>
      <c r="BC848" s="250"/>
      <c r="BE848" s="119"/>
    </row>
    <row r="849" spans="34:57" ht="14.15" customHeight="1" x14ac:dyDescent="0.35">
      <c r="AH849" s="114"/>
      <c r="AI849" s="114"/>
      <c r="AJ849" s="130"/>
      <c r="AK849" s="130"/>
      <c r="AL849" s="130"/>
      <c r="AM849" s="130"/>
      <c r="AN849" s="130"/>
      <c r="AO849" s="130"/>
      <c r="AP849" s="130"/>
      <c r="AQ849" s="130"/>
      <c r="AR849" s="130"/>
      <c r="AS849" s="130"/>
      <c r="BC849" s="250"/>
      <c r="BE849" s="119"/>
    </row>
    <row r="850" spans="34:57" ht="14.15" customHeight="1" x14ac:dyDescent="0.35">
      <c r="AH850" s="114"/>
      <c r="AI850" s="114"/>
      <c r="AJ850" s="130"/>
      <c r="AK850" s="130"/>
      <c r="AL850" s="130"/>
      <c r="AM850" s="130"/>
      <c r="AN850" s="130"/>
      <c r="AO850" s="130"/>
      <c r="AP850" s="130"/>
      <c r="AQ850" s="130"/>
      <c r="AR850" s="130"/>
      <c r="AS850" s="130"/>
      <c r="BC850" s="250"/>
      <c r="BE850" s="119"/>
    </row>
    <row r="851" spans="34:57" ht="14.15" customHeight="1" x14ac:dyDescent="0.35">
      <c r="AH851" s="114"/>
      <c r="AI851" s="114"/>
      <c r="AJ851" s="130"/>
      <c r="AK851" s="130"/>
      <c r="AL851" s="130"/>
      <c r="AM851" s="130"/>
      <c r="AN851" s="130"/>
      <c r="AO851" s="130"/>
      <c r="AP851" s="130"/>
      <c r="AQ851" s="130"/>
      <c r="AR851" s="130"/>
      <c r="AS851" s="130"/>
      <c r="BC851" s="250"/>
      <c r="BE851" s="119"/>
    </row>
    <row r="852" spans="34:57" ht="14.15" customHeight="1" x14ac:dyDescent="0.35">
      <c r="AH852" s="114"/>
      <c r="AI852" s="114"/>
      <c r="AJ852" s="130"/>
      <c r="AK852" s="130"/>
      <c r="AL852" s="130"/>
      <c r="AM852" s="130"/>
      <c r="AN852" s="130"/>
      <c r="AO852" s="130"/>
      <c r="AP852" s="130"/>
      <c r="AQ852" s="130"/>
      <c r="AR852" s="130"/>
      <c r="AS852" s="130"/>
      <c r="BC852" s="250"/>
      <c r="BE852" s="119"/>
    </row>
    <row r="853" spans="34:57" ht="14.15" customHeight="1" x14ac:dyDescent="0.35">
      <c r="AH853" s="114"/>
      <c r="AI853" s="114"/>
      <c r="AJ853" s="130"/>
      <c r="AK853" s="130"/>
      <c r="AL853" s="130"/>
      <c r="AM853" s="130"/>
      <c r="AN853" s="130"/>
      <c r="AO853" s="130"/>
      <c r="AP853" s="130"/>
      <c r="AQ853" s="130"/>
      <c r="AR853" s="130"/>
      <c r="AS853" s="130"/>
      <c r="BC853" s="250"/>
      <c r="BE853" s="119"/>
    </row>
    <row r="854" spans="34:57" ht="14.15" customHeight="1" x14ac:dyDescent="0.35">
      <c r="AH854" s="114"/>
      <c r="AI854" s="114"/>
      <c r="AJ854" s="130"/>
      <c r="AK854" s="130"/>
      <c r="AL854" s="130"/>
      <c r="AM854" s="130"/>
      <c r="AN854" s="130"/>
      <c r="AO854" s="130"/>
      <c r="AP854" s="130"/>
      <c r="AQ854" s="130"/>
      <c r="AR854" s="130"/>
      <c r="AS854" s="130"/>
      <c r="BC854" s="250"/>
      <c r="BE854" s="119"/>
    </row>
    <row r="855" spans="34:57" ht="14.15" customHeight="1" x14ac:dyDescent="0.35">
      <c r="AH855" s="114"/>
      <c r="AI855" s="114"/>
      <c r="AJ855" s="130"/>
      <c r="AK855" s="130"/>
      <c r="AL855" s="130"/>
      <c r="AM855" s="130"/>
      <c r="AN855" s="130"/>
      <c r="AO855" s="130"/>
      <c r="AP855" s="130"/>
      <c r="AQ855" s="130"/>
      <c r="AR855" s="130"/>
      <c r="AS855" s="130"/>
      <c r="BC855" s="250"/>
      <c r="BE855" s="119"/>
    </row>
    <row r="856" spans="34:57" ht="14.15" customHeight="1" x14ac:dyDescent="0.35">
      <c r="AH856" s="114"/>
      <c r="AI856" s="114"/>
      <c r="AJ856" s="130"/>
      <c r="AK856" s="130"/>
      <c r="AL856" s="130"/>
      <c r="AM856" s="130"/>
      <c r="AN856" s="130"/>
      <c r="AO856" s="130"/>
      <c r="AP856" s="130"/>
      <c r="AQ856" s="130"/>
      <c r="AR856" s="130"/>
      <c r="AS856" s="130"/>
      <c r="BC856" s="250"/>
      <c r="BE856" s="119"/>
    </row>
    <row r="857" spans="34:57" ht="14.15" customHeight="1" x14ac:dyDescent="0.35">
      <c r="AH857" s="114"/>
      <c r="AI857" s="114"/>
      <c r="AJ857" s="130"/>
      <c r="AK857" s="130"/>
      <c r="AL857" s="130"/>
      <c r="AM857" s="130"/>
      <c r="AN857" s="130"/>
      <c r="AO857" s="130"/>
      <c r="AP857" s="130"/>
      <c r="AQ857" s="130"/>
      <c r="AR857" s="130"/>
      <c r="AS857" s="130"/>
      <c r="BC857" s="250"/>
      <c r="BE857" s="119"/>
    </row>
    <row r="858" spans="34:57" ht="14.15" customHeight="1" x14ac:dyDescent="0.35">
      <c r="AH858" s="114"/>
      <c r="AI858" s="114"/>
      <c r="AJ858" s="130"/>
      <c r="AK858" s="130"/>
      <c r="AL858" s="130"/>
      <c r="AM858" s="130"/>
      <c r="AN858" s="130"/>
      <c r="AO858" s="130"/>
      <c r="AP858" s="130"/>
      <c r="AQ858" s="130"/>
      <c r="AR858" s="130"/>
      <c r="AS858" s="130"/>
      <c r="BC858" s="250"/>
      <c r="BE858" s="119"/>
    </row>
    <row r="859" spans="34:57" ht="14.15" customHeight="1" x14ac:dyDescent="0.35">
      <c r="AH859" s="114"/>
      <c r="AI859" s="114"/>
      <c r="AJ859" s="130"/>
      <c r="AK859" s="130"/>
      <c r="AL859" s="130"/>
      <c r="AM859" s="130"/>
      <c r="AN859" s="130"/>
      <c r="AO859" s="130"/>
      <c r="AP859" s="130"/>
      <c r="AQ859" s="130"/>
      <c r="AR859" s="130"/>
      <c r="AS859" s="130"/>
      <c r="BC859" s="250"/>
      <c r="BE859" s="119"/>
    </row>
    <row r="860" spans="34:57" ht="14.15" customHeight="1" x14ac:dyDescent="0.35">
      <c r="AH860" s="114"/>
      <c r="AI860" s="114"/>
      <c r="AJ860" s="130"/>
      <c r="AK860" s="130"/>
      <c r="AL860" s="130"/>
      <c r="AM860" s="130"/>
      <c r="AN860" s="130"/>
      <c r="AO860" s="130"/>
      <c r="AP860" s="130"/>
      <c r="AQ860" s="130"/>
      <c r="AR860" s="130"/>
      <c r="AS860" s="130"/>
      <c r="BC860" s="250"/>
      <c r="BE860" s="119"/>
    </row>
    <row r="861" spans="34:57" ht="14.15" customHeight="1" x14ac:dyDescent="0.35">
      <c r="AH861" s="114"/>
      <c r="AI861" s="114"/>
      <c r="AJ861" s="130"/>
      <c r="AK861" s="130"/>
      <c r="AL861" s="130"/>
      <c r="AM861" s="130"/>
      <c r="AN861" s="130"/>
      <c r="AO861" s="130"/>
      <c r="AP861" s="130"/>
      <c r="AQ861" s="130"/>
      <c r="AR861" s="130"/>
      <c r="AS861" s="130"/>
      <c r="BC861" s="250"/>
      <c r="BE861" s="119"/>
    </row>
    <row r="862" spans="34:57" ht="14.15" customHeight="1" x14ac:dyDescent="0.35">
      <c r="AH862" s="114"/>
      <c r="AI862" s="114"/>
      <c r="AJ862" s="130"/>
      <c r="AK862" s="130"/>
      <c r="AL862" s="130"/>
      <c r="AM862" s="130"/>
      <c r="AN862" s="130"/>
      <c r="AO862" s="130"/>
      <c r="AP862" s="130"/>
      <c r="AQ862" s="130"/>
      <c r="AR862" s="130"/>
      <c r="AS862" s="130"/>
      <c r="BC862" s="250"/>
      <c r="BE862" s="119"/>
    </row>
    <row r="863" spans="34:57" ht="14.15" customHeight="1" x14ac:dyDescent="0.35">
      <c r="AH863" s="114"/>
      <c r="AI863" s="114"/>
      <c r="AJ863" s="130"/>
      <c r="AK863" s="130"/>
      <c r="AL863" s="130"/>
      <c r="AM863" s="130"/>
      <c r="AN863" s="130"/>
      <c r="AO863" s="130"/>
      <c r="AP863" s="130"/>
      <c r="AQ863" s="130"/>
      <c r="AR863" s="130"/>
      <c r="AS863" s="130"/>
      <c r="BC863" s="250"/>
      <c r="BE863" s="119"/>
    </row>
    <row r="864" spans="34:57" ht="14.15" customHeight="1" x14ac:dyDescent="0.35">
      <c r="AH864" s="114"/>
      <c r="AI864" s="114"/>
      <c r="AJ864" s="130"/>
      <c r="AK864" s="130"/>
      <c r="AL864" s="130"/>
      <c r="AM864" s="130"/>
      <c r="AN864" s="130"/>
      <c r="AO864" s="130"/>
      <c r="AP864" s="130"/>
      <c r="AQ864" s="130"/>
      <c r="AR864" s="130"/>
      <c r="AS864" s="130"/>
      <c r="BC864" s="250"/>
      <c r="BE864" s="119"/>
    </row>
    <row r="865" spans="34:57" ht="14.15" customHeight="1" x14ac:dyDescent="0.35">
      <c r="AH865" s="114"/>
      <c r="AI865" s="114"/>
      <c r="AJ865" s="130"/>
      <c r="AK865" s="130"/>
      <c r="AL865" s="130"/>
      <c r="AM865" s="130"/>
      <c r="AN865" s="130"/>
      <c r="AO865" s="130"/>
      <c r="AP865" s="130"/>
      <c r="AQ865" s="130"/>
      <c r="AR865" s="130"/>
      <c r="AS865" s="130"/>
      <c r="BC865" s="250"/>
      <c r="BE865" s="119"/>
    </row>
    <row r="866" spans="34:57" ht="14.15" customHeight="1" x14ac:dyDescent="0.35">
      <c r="AH866" s="114"/>
      <c r="AI866" s="114"/>
      <c r="AJ866" s="130"/>
      <c r="AK866" s="130"/>
      <c r="AL866" s="130"/>
      <c r="AM866" s="130"/>
      <c r="AN866" s="130"/>
      <c r="AO866" s="130"/>
      <c r="AP866" s="130"/>
      <c r="AQ866" s="130"/>
      <c r="AR866" s="130"/>
      <c r="AS866" s="130"/>
      <c r="BC866" s="250"/>
      <c r="BE866" s="119"/>
    </row>
    <row r="867" spans="34:57" ht="14.15" customHeight="1" x14ac:dyDescent="0.35">
      <c r="AH867" s="114"/>
      <c r="AI867" s="114"/>
      <c r="AJ867" s="130"/>
      <c r="AK867" s="130"/>
      <c r="AL867" s="130"/>
      <c r="AM867" s="130"/>
      <c r="AN867" s="130"/>
      <c r="AO867" s="130"/>
      <c r="AP867" s="130"/>
      <c r="AQ867" s="130"/>
      <c r="AR867" s="130"/>
      <c r="AS867" s="130"/>
      <c r="BC867" s="250"/>
      <c r="BE867" s="119"/>
    </row>
    <row r="868" spans="34:57" ht="14.15" customHeight="1" x14ac:dyDescent="0.35">
      <c r="AH868" s="114"/>
      <c r="AI868" s="114"/>
      <c r="AJ868" s="130"/>
      <c r="AK868" s="130"/>
      <c r="AL868" s="130"/>
      <c r="AM868" s="130"/>
      <c r="AN868" s="130"/>
      <c r="AO868" s="130"/>
      <c r="AP868" s="130"/>
      <c r="AQ868" s="130"/>
      <c r="AR868" s="130"/>
      <c r="AS868" s="130"/>
      <c r="BC868" s="250"/>
      <c r="BE868" s="119"/>
    </row>
    <row r="869" spans="34:57" ht="14.15" customHeight="1" x14ac:dyDescent="0.35">
      <c r="AH869" s="114"/>
      <c r="AI869" s="114"/>
      <c r="AJ869" s="130"/>
      <c r="AK869" s="130"/>
      <c r="AL869" s="130"/>
      <c r="AM869" s="130"/>
      <c r="AN869" s="130"/>
      <c r="AO869" s="130"/>
      <c r="AP869" s="130"/>
      <c r="AQ869" s="130"/>
      <c r="AR869" s="130"/>
      <c r="AS869" s="130"/>
      <c r="BC869" s="250"/>
      <c r="BE869" s="119"/>
    </row>
    <row r="870" spans="34:57" ht="14.15" customHeight="1" x14ac:dyDescent="0.35">
      <c r="AH870" s="114"/>
      <c r="AI870" s="114"/>
      <c r="AJ870" s="130"/>
      <c r="AK870" s="130"/>
      <c r="AL870" s="130"/>
      <c r="AM870" s="130"/>
      <c r="AN870" s="130"/>
      <c r="AO870" s="130"/>
      <c r="AP870" s="130"/>
      <c r="AQ870" s="130"/>
      <c r="AR870" s="130"/>
      <c r="AS870" s="130"/>
      <c r="BC870" s="250"/>
      <c r="BE870" s="119"/>
    </row>
    <row r="871" spans="34:57" ht="14.15" customHeight="1" x14ac:dyDescent="0.35">
      <c r="AH871" s="114"/>
      <c r="AI871" s="114"/>
      <c r="AJ871" s="130"/>
      <c r="AK871" s="130"/>
      <c r="AL871" s="130"/>
      <c r="AM871" s="130"/>
      <c r="AN871" s="130"/>
      <c r="AO871" s="130"/>
      <c r="AP871" s="130"/>
      <c r="AQ871" s="130"/>
      <c r="AR871" s="130"/>
      <c r="AS871" s="130"/>
      <c r="BC871" s="250"/>
      <c r="BE871" s="119"/>
    </row>
    <row r="872" spans="34:57" ht="14.15" customHeight="1" x14ac:dyDescent="0.35">
      <c r="AH872" s="114"/>
      <c r="AI872" s="114"/>
      <c r="AJ872" s="130"/>
      <c r="AK872" s="130"/>
      <c r="AL872" s="130"/>
      <c r="AM872" s="130"/>
      <c r="AN872" s="130"/>
      <c r="AO872" s="130"/>
      <c r="AP872" s="130"/>
      <c r="AQ872" s="130"/>
      <c r="AR872" s="130"/>
      <c r="AS872" s="130"/>
      <c r="BC872" s="250"/>
      <c r="BE872" s="119"/>
    </row>
    <row r="873" spans="34:57" ht="14.15" customHeight="1" x14ac:dyDescent="0.35">
      <c r="AH873" s="114"/>
      <c r="AI873" s="114"/>
      <c r="AJ873" s="130"/>
      <c r="AK873" s="130"/>
      <c r="AL873" s="130"/>
      <c r="AM873" s="130"/>
      <c r="AN873" s="130"/>
      <c r="AO873" s="130"/>
      <c r="AP873" s="130"/>
      <c r="AQ873" s="130"/>
      <c r="AR873" s="130"/>
      <c r="AS873" s="130"/>
      <c r="BC873" s="250"/>
      <c r="BE873" s="119"/>
    </row>
    <row r="874" spans="34:57" ht="14.15" customHeight="1" x14ac:dyDescent="0.35">
      <c r="AH874" s="114"/>
      <c r="AI874" s="114"/>
      <c r="AJ874" s="130"/>
      <c r="AK874" s="130"/>
      <c r="AL874" s="130"/>
      <c r="AM874" s="130"/>
      <c r="AN874" s="130"/>
      <c r="AO874" s="130"/>
      <c r="AP874" s="130"/>
      <c r="AQ874" s="130"/>
      <c r="AR874" s="130"/>
      <c r="AS874" s="130"/>
      <c r="BC874" s="250"/>
      <c r="BE874" s="119"/>
    </row>
    <row r="875" spans="34:57" ht="14.15" customHeight="1" x14ac:dyDescent="0.35">
      <c r="AH875" s="114"/>
      <c r="AI875" s="114"/>
      <c r="AJ875" s="130"/>
      <c r="AK875" s="130"/>
      <c r="AL875" s="130"/>
      <c r="AM875" s="130"/>
      <c r="AN875" s="130"/>
      <c r="AO875" s="130"/>
      <c r="AP875" s="130"/>
      <c r="AQ875" s="130"/>
      <c r="AR875" s="130"/>
      <c r="AS875" s="130"/>
      <c r="BC875" s="250"/>
      <c r="BE875" s="119"/>
    </row>
    <row r="876" spans="34:57" ht="14.15" customHeight="1" x14ac:dyDescent="0.35">
      <c r="AH876" s="114"/>
      <c r="AI876" s="114"/>
      <c r="AJ876" s="130"/>
      <c r="AK876" s="130"/>
      <c r="AL876" s="130"/>
      <c r="AM876" s="130"/>
      <c r="AN876" s="130"/>
      <c r="AO876" s="130"/>
      <c r="AP876" s="130"/>
      <c r="AQ876" s="130"/>
      <c r="AR876" s="130"/>
      <c r="AS876" s="130"/>
      <c r="BC876" s="250"/>
      <c r="BE876" s="119"/>
    </row>
    <row r="877" spans="34:57" ht="14.15" customHeight="1" x14ac:dyDescent="0.35">
      <c r="AH877" s="114"/>
      <c r="AI877" s="114"/>
      <c r="AJ877" s="130"/>
      <c r="AK877" s="130"/>
      <c r="AL877" s="130"/>
      <c r="AM877" s="130"/>
      <c r="AN877" s="130"/>
      <c r="AO877" s="130"/>
      <c r="AP877" s="130"/>
      <c r="AQ877" s="130"/>
      <c r="AR877" s="130"/>
      <c r="AS877" s="130"/>
      <c r="BC877" s="250"/>
      <c r="BE877" s="119"/>
    </row>
    <row r="878" spans="34:57" ht="14.15" customHeight="1" x14ac:dyDescent="0.35">
      <c r="AH878" s="114"/>
      <c r="AI878" s="114"/>
      <c r="AJ878" s="130"/>
      <c r="AK878" s="130"/>
      <c r="AL878" s="130"/>
      <c r="AM878" s="130"/>
      <c r="AN878" s="130"/>
      <c r="AO878" s="130"/>
      <c r="AP878" s="130"/>
      <c r="AQ878" s="130"/>
      <c r="AR878" s="130"/>
      <c r="AS878" s="130"/>
      <c r="BC878" s="250"/>
      <c r="BE878" s="119"/>
    </row>
    <row r="879" spans="34:57" ht="14.15" customHeight="1" x14ac:dyDescent="0.35">
      <c r="AH879" s="114"/>
      <c r="AI879" s="114"/>
      <c r="AJ879" s="130"/>
      <c r="AK879" s="130"/>
      <c r="AL879" s="130"/>
      <c r="AM879" s="130"/>
      <c r="AN879" s="130"/>
      <c r="AO879" s="130"/>
      <c r="AP879" s="130"/>
      <c r="AQ879" s="130"/>
      <c r="AR879" s="130"/>
      <c r="AS879" s="130"/>
      <c r="BC879" s="250"/>
      <c r="BE879" s="119"/>
    </row>
    <row r="880" spans="34:57" ht="14.15" customHeight="1" x14ac:dyDescent="0.35">
      <c r="AH880" s="114"/>
      <c r="AI880" s="114"/>
      <c r="AJ880" s="130"/>
      <c r="AK880" s="130"/>
      <c r="AL880" s="130"/>
      <c r="AM880" s="130"/>
      <c r="AN880" s="130"/>
      <c r="AO880" s="130"/>
      <c r="AP880" s="130"/>
      <c r="AQ880" s="130"/>
      <c r="AR880" s="130"/>
      <c r="AS880" s="130"/>
      <c r="BC880" s="250"/>
      <c r="BE880" s="119"/>
    </row>
    <row r="881" spans="34:57" ht="14.15" customHeight="1" x14ac:dyDescent="0.35">
      <c r="AH881" s="114"/>
      <c r="AI881" s="114"/>
      <c r="AJ881" s="130"/>
      <c r="AK881" s="130"/>
      <c r="AL881" s="130"/>
      <c r="AM881" s="130"/>
      <c r="AN881" s="130"/>
      <c r="AO881" s="130"/>
      <c r="AP881" s="130"/>
      <c r="AQ881" s="130"/>
      <c r="AR881" s="130"/>
      <c r="AS881" s="130"/>
      <c r="BC881" s="250"/>
      <c r="BE881" s="119"/>
    </row>
    <row r="882" spans="34:57" ht="14.15" customHeight="1" x14ac:dyDescent="0.35">
      <c r="AH882" s="114"/>
      <c r="AI882" s="114"/>
      <c r="AJ882" s="130"/>
      <c r="AK882" s="130"/>
      <c r="AL882" s="130"/>
      <c r="AM882" s="130"/>
      <c r="AN882" s="130"/>
      <c r="AO882" s="130"/>
      <c r="AP882" s="130"/>
      <c r="AQ882" s="130"/>
      <c r="AR882" s="130"/>
      <c r="AS882" s="130"/>
      <c r="BC882" s="250"/>
      <c r="BE882" s="119"/>
    </row>
    <row r="883" spans="34:57" ht="14.15" customHeight="1" x14ac:dyDescent="0.35">
      <c r="AH883" s="114"/>
      <c r="AI883" s="114"/>
      <c r="AJ883" s="130"/>
      <c r="AK883" s="130"/>
      <c r="AL883" s="130"/>
      <c r="AM883" s="130"/>
      <c r="AN883" s="130"/>
      <c r="AO883" s="130"/>
      <c r="AP883" s="130"/>
      <c r="AQ883" s="130"/>
      <c r="AR883" s="130"/>
      <c r="AS883" s="130"/>
      <c r="BC883" s="250"/>
      <c r="BE883" s="119"/>
    </row>
    <row r="884" spans="34:57" ht="14.15" customHeight="1" x14ac:dyDescent="0.35">
      <c r="AH884" s="114"/>
      <c r="AI884" s="114"/>
      <c r="AJ884" s="130"/>
      <c r="AK884" s="130"/>
      <c r="AL884" s="130"/>
      <c r="AM884" s="130"/>
      <c r="AN884" s="130"/>
      <c r="AO884" s="130"/>
      <c r="AP884" s="130"/>
      <c r="AQ884" s="130"/>
      <c r="AR884" s="130"/>
      <c r="AS884" s="130"/>
      <c r="BC884" s="250"/>
      <c r="BE884" s="119"/>
    </row>
    <row r="885" spans="34:57" ht="14.15" customHeight="1" x14ac:dyDescent="0.35">
      <c r="AH885" s="114"/>
      <c r="AI885" s="114"/>
      <c r="AJ885" s="130"/>
      <c r="AK885" s="130"/>
      <c r="AL885" s="130"/>
      <c r="AM885" s="130"/>
      <c r="AN885" s="130"/>
      <c r="AO885" s="130"/>
      <c r="AP885" s="130"/>
      <c r="AQ885" s="130"/>
      <c r="AR885" s="130"/>
      <c r="AS885" s="130"/>
      <c r="BC885" s="250"/>
      <c r="BE885" s="119"/>
    </row>
    <row r="886" spans="34:57" ht="14.15" customHeight="1" x14ac:dyDescent="0.35">
      <c r="AH886" s="114"/>
      <c r="AI886" s="114"/>
      <c r="AJ886" s="130"/>
      <c r="AK886" s="130"/>
      <c r="AL886" s="130"/>
      <c r="AM886" s="130"/>
      <c r="AN886" s="130"/>
      <c r="AO886" s="130"/>
      <c r="AP886" s="130"/>
      <c r="AQ886" s="130"/>
      <c r="AR886" s="130"/>
      <c r="AS886" s="130"/>
      <c r="BC886" s="250"/>
      <c r="BE886" s="119"/>
    </row>
    <row r="887" spans="34:57" ht="14.15" customHeight="1" x14ac:dyDescent="0.35">
      <c r="AH887" s="114"/>
      <c r="AI887" s="114"/>
      <c r="AJ887" s="130"/>
      <c r="AK887" s="130"/>
      <c r="AL887" s="130"/>
      <c r="AM887" s="130"/>
      <c r="AN887" s="130"/>
      <c r="AO887" s="130"/>
      <c r="AP887" s="130"/>
      <c r="AQ887" s="130"/>
      <c r="AR887" s="130"/>
      <c r="AS887" s="130"/>
      <c r="BC887" s="250"/>
      <c r="BE887" s="119"/>
    </row>
    <row r="888" spans="34:57" ht="14.15" customHeight="1" x14ac:dyDescent="0.35">
      <c r="AH888" s="114"/>
      <c r="AI888" s="114"/>
      <c r="AJ888" s="130"/>
      <c r="AK888" s="130"/>
      <c r="AL888" s="130"/>
      <c r="AM888" s="130"/>
      <c r="AN888" s="130"/>
      <c r="AO888" s="130"/>
      <c r="AP888" s="130"/>
      <c r="AQ888" s="130"/>
      <c r="AR888" s="130"/>
      <c r="AS888" s="130"/>
      <c r="BC888" s="250"/>
      <c r="BE888" s="119"/>
    </row>
    <row r="889" spans="34:57" ht="14.15" customHeight="1" x14ac:dyDescent="0.35">
      <c r="AH889" s="114"/>
      <c r="AI889" s="114"/>
      <c r="AJ889" s="130"/>
      <c r="AK889" s="130"/>
      <c r="AL889" s="130"/>
      <c r="AM889" s="130"/>
      <c r="AN889" s="130"/>
      <c r="AO889" s="130"/>
      <c r="AP889" s="130"/>
      <c r="AQ889" s="130"/>
      <c r="AR889" s="130"/>
      <c r="AS889" s="130"/>
      <c r="BC889" s="250"/>
      <c r="BE889" s="119"/>
    </row>
    <row r="890" spans="34:57" ht="14.15" customHeight="1" x14ac:dyDescent="0.35">
      <c r="AH890" s="114"/>
      <c r="AI890" s="114"/>
      <c r="AJ890" s="130"/>
      <c r="AK890" s="130"/>
      <c r="AL890" s="130"/>
      <c r="AM890" s="130"/>
      <c r="AN890" s="130"/>
      <c r="AO890" s="130"/>
      <c r="AP890" s="130"/>
      <c r="AQ890" s="130"/>
      <c r="AR890" s="130"/>
      <c r="AS890" s="130"/>
      <c r="BC890" s="250"/>
      <c r="BE890" s="119"/>
    </row>
    <row r="891" spans="34:57" ht="14.15" customHeight="1" x14ac:dyDescent="0.35">
      <c r="AH891" s="114"/>
      <c r="AI891" s="114"/>
      <c r="AJ891" s="130"/>
      <c r="AK891" s="130"/>
      <c r="AL891" s="130"/>
      <c r="AM891" s="130"/>
      <c r="AN891" s="130"/>
      <c r="AO891" s="130"/>
      <c r="AP891" s="130"/>
      <c r="AQ891" s="130"/>
      <c r="AR891" s="130"/>
      <c r="AS891" s="130"/>
      <c r="BC891" s="250"/>
      <c r="BE891" s="119"/>
    </row>
    <row r="892" spans="34:57" ht="14.15" customHeight="1" x14ac:dyDescent="0.35">
      <c r="AH892" s="114"/>
      <c r="AI892" s="114"/>
      <c r="AJ892" s="130"/>
      <c r="AK892" s="130"/>
      <c r="AL892" s="130"/>
      <c r="AM892" s="130"/>
      <c r="AN892" s="130"/>
      <c r="AO892" s="130"/>
      <c r="AP892" s="130"/>
      <c r="AQ892" s="130"/>
      <c r="AR892" s="130"/>
      <c r="AS892" s="130"/>
      <c r="BC892" s="250"/>
      <c r="BE892" s="119"/>
    </row>
    <row r="893" spans="34:57" ht="14.15" customHeight="1" x14ac:dyDescent="0.35">
      <c r="AH893" s="114"/>
      <c r="AI893" s="114"/>
      <c r="AJ893" s="130"/>
      <c r="AK893" s="130"/>
      <c r="AL893" s="130"/>
      <c r="AM893" s="130"/>
      <c r="AN893" s="130"/>
      <c r="AO893" s="130"/>
      <c r="AP893" s="130"/>
      <c r="AQ893" s="130"/>
      <c r="AR893" s="130"/>
      <c r="AS893" s="130"/>
      <c r="BC893" s="250"/>
      <c r="BE893" s="119"/>
    </row>
    <row r="894" spans="34:57" ht="14.15" customHeight="1" x14ac:dyDescent="0.35">
      <c r="AH894" s="114"/>
      <c r="AI894" s="114"/>
      <c r="AJ894" s="130"/>
      <c r="AK894" s="130"/>
      <c r="AL894" s="130"/>
      <c r="AM894" s="130"/>
      <c r="AN894" s="130"/>
      <c r="AO894" s="130"/>
      <c r="AP894" s="130"/>
      <c r="AQ894" s="130"/>
      <c r="AR894" s="130"/>
      <c r="AS894" s="130"/>
      <c r="BC894" s="250"/>
      <c r="BE894" s="119"/>
    </row>
    <row r="895" spans="34:57" ht="14.15" customHeight="1" x14ac:dyDescent="0.35">
      <c r="AH895" s="114"/>
      <c r="AI895" s="114"/>
      <c r="AJ895" s="130"/>
      <c r="AK895" s="130"/>
      <c r="AL895" s="130"/>
      <c r="AM895" s="130"/>
      <c r="AN895" s="130"/>
      <c r="AO895" s="130"/>
      <c r="AP895" s="130"/>
      <c r="AQ895" s="130"/>
      <c r="AR895" s="130"/>
      <c r="AS895" s="130"/>
      <c r="BC895" s="250"/>
      <c r="BE895" s="119"/>
    </row>
    <row r="896" spans="34:57" ht="14.15" customHeight="1" x14ac:dyDescent="0.35">
      <c r="AH896" s="114"/>
      <c r="AI896" s="114"/>
      <c r="AJ896" s="130"/>
      <c r="AK896" s="130"/>
      <c r="AL896" s="130"/>
      <c r="AM896" s="130"/>
      <c r="AN896" s="130"/>
      <c r="AO896" s="130"/>
      <c r="AP896" s="130"/>
      <c r="AQ896" s="130"/>
      <c r="AR896" s="130"/>
      <c r="AS896" s="130"/>
      <c r="BC896" s="250"/>
      <c r="BE896" s="119"/>
    </row>
    <row r="897" spans="34:57" ht="14.15" customHeight="1" x14ac:dyDescent="0.35">
      <c r="AH897" s="114"/>
      <c r="AI897" s="114"/>
      <c r="AJ897" s="130"/>
      <c r="AK897" s="130"/>
      <c r="AL897" s="130"/>
      <c r="AM897" s="130"/>
      <c r="AN897" s="130"/>
      <c r="AO897" s="130"/>
      <c r="AP897" s="130"/>
      <c r="AQ897" s="130"/>
      <c r="AR897" s="130"/>
      <c r="AS897" s="130"/>
      <c r="BC897" s="250"/>
      <c r="BE897" s="119"/>
    </row>
    <row r="898" spans="34:57" ht="14.15" customHeight="1" x14ac:dyDescent="0.35">
      <c r="AH898" s="114"/>
      <c r="AI898" s="114"/>
      <c r="AJ898" s="130"/>
      <c r="AK898" s="130"/>
      <c r="AL898" s="130"/>
      <c r="AM898" s="130"/>
      <c r="AN898" s="130"/>
      <c r="AO898" s="130"/>
      <c r="AP898" s="130"/>
      <c r="AQ898" s="130"/>
      <c r="AR898" s="130"/>
      <c r="AS898" s="130"/>
      <c r="BC898" s="250"/>
      <c r="BE898" s="119"/>
    </row>
    <row r="899" spans="34:57" ht="14.15" customHeight="1" x14ac:dyDescent="0.35">
      <c r="AH899" s="114"/>
      <c r="AI899" s="114"/>
      <c r="AJ899" s="130"/>
      <c r="AK899" s="130"/>
      <c r="AL899" s="130"/>
      <c r="AM899" s="130"/>
      <c r="AN899" s="130"/>
      <c r="AO899" s="130"/>
      <c r="AP899" s="130"/>
      <c r="AQ899" s="130"/>
      <c r="AR899" s="130"/>
      <c r="AS899" s="130"/>
      <c r="BC899" s="250"/>
      <c r="BE899" s="119"/>
    </row>
    <row r="900" spans="34:57" ht="14.15" customHeight="1" x14ac:dyDescent="0.35">
      <c r="AH900" s="114"/>
      <c r="AI900" s="114"/>
      <c r="AJ900" s="130"/>
      <c r="AK900" s="130"/>
      <c r="AL900" s="130"/>
      <c r="AM900" s="130"/>
      <c r="AN900" s="130"/>
      <c r="AO900" s="130"/>
      <c r="AP900" s="130"/>
      <c r="AQ900" s="130"/>
      <c r="AR900" s="130"/>
      <c r="AS900" s="130"/>
      <c r="BC900" s="250"/>
      <c r="BE900" s="119"/>
    </row>
    <row r="901" spans="34:57" ht="14.15" customHeight="1" x14ac:dyDescent="0.35">
      <c r="AH901" s="114"/>
      <c r="AI901" s="114"/>
      <c r="AJ901" s="130"/>
      <c r="AK901" s="130"/>
      <c r="AL901" s="130"/>
      <c r="AM901" s="130"/>
      <c r="AN901" s="130"/>
      <c r="AO901" s="130"/>
      <c r="AP901" s="130"/>
      <c r="AQ901" s="130"/>
      <c r="AR901" s="130"/>
      <c r="AS901" s="130"/>
      <c r="BC901" s="250"/>
      <c r="BE901" s="119"/>
    </row>
    <row r="902" spans="34:57" ht="14.15" customHeight="1" x14ac:dyDescent="0.35">
      <c r="AH902" s="114"/>
      <c r="AI902" s="114"/>
      <c r="AJ902" s="130"/>
      <c r="AK902" s="130"/>
      <c r="AL902" s="130"/>
      <c r="AM902" s="130"/>
      <c r="AN902" s="130"/>
      <c r="AO902" s="130"/>
      <c r="AP902" s="130"/>
      <c r="AQ902" s="130"/>
      <c r="AR902" s="130"/>
      <c r="AS902" s="130"/>
      <c r="BC902" s="250"/>
      <c r="BE902" s="119"/>
    </row>
    <row r="903" spans="34:57" ht="14.15" customHeight="1" x14ac:dyDescent="0.35">
      <c r="AH903" s="114"/>
      <c r="AI903" s="114"/>
      <c r="AJ903" s="130"/>
      <c r="AK903" s="130"/>
      <c r="AL903" s="130"/>
      <c r="AM903" s="130"/>
      <c r="AN903" s="130"/>
      <c r="AO903" s="130"/>
      <c r="AP903" s="130"/>
      <c r="AQ903" s="130"/>
      <c r="AR903" s="130"/>
      <c r="AS903" s="130"/>
      <c r="BC903" s="250"/>
      <c r="BE903" s="119"/>
    </row>
    <row r="904" spans="34:57" ht="14.15" customHeight="1" x14ac:dyDescent="0.35">
      <c r="AH904" s="114"/>
      <c r="AI904" s="114"/>
      <c r="AJ904" s="130"/>
      <c r="AK904" s="130"/>
      <c r="AL904" s="130"/>
      <c r="AM904" s="130"/>
      <c r="AN904" s="130"/>
      <c r="AO904" s="130"/>
      <c r="AP904" s="130"/>
      <c r="AQ904" s="130"/>
      <c r="AR904" s="130"/>
      <c r="AS904" s="130"/>
      <c r="BC904" s="250"/>
      <c r="BE904" s="119"/>
    </row>
    <row r="905" spans="34:57" ht="14.15" customHeight="1" x14ac:dyDescent="0.35">
      <c r="AH905" s="114"/>
      <c r="AI905" s="114"/>
      <c r="AJ905" s="130"/>
      <c r="AK905" s="130"/>
      <c r="AL905" s="130"/>
      <c r="AM905" s="130"/>
      <c r="AN905" s="130"/>
      <c r="AO905" s="130"/>
      <c r="AP905" s="130"/>
      <c r="AQ905" s="130"/>
      <c r="AR905" s="130"/>
      <c r="AS905" s="130"/>
      <c r="BC905" s="250"/>
      <c r="BE905" s="119"/>
    </row>
    <row r="906" spans="34:57" ht="14.15" customHeight="1" x14ac:dyDescent="0.35">
      <c r="AH906" s="114"/>
      <c r="AI906" s="114"/>
      <c r="AJ906" s="130"/>
      <c r="AK906" s="130"/>
      <c r="AL906" s="130"/>
      <c r="AM906" s="130"/>
      <c r="AN906" s="130"/>
      <c r="AO906" s="130"/>
      <c r="AP906" s="130"/>
      <c r="AQ906" s="130"/>
      <c r="AR906" s="130"/>
      <c r="AS906" s="130"/>
      <c r="BC906" s="250"/>
      <c r="BE906" s="119"/>
    </row>
    <row r="907" spans="34:57" ht="14.15" customHeight="1" x14ac:dyDescent="0.35">
      <c r="AH907" s="114"/>
      <c r="AI907" s="114"/>
      <c r="AJ907" s="130"/>
      <c r="AK907" s="130"/>
      <c r="AL907" s="130"/>
      <c r="AM907" s="130"/>
      <c r="AN907" s="130"/>
      <c r="AO907" s="130"/>
      <c r="AP907" s="130"/>
      <c r="AQ907" s="130"/>
      <c r="AR907" s="130"/>
      <c r="AS907" s="130"/>
      <c r="BC907" s="250"/>
      <c r="BE907" s="119"/>
    </row>
    <row r="908" spans="34:57" ht="14.15" customHeight="1" x14ac:dyDescent="0.35">
      <c r="AH908" s="114"/>
      <c r="AI908" s="114"/>
      <c r="AJ908" s="130"/>
      <c r="AK908" s="130"/>
      <c r="AL908" s="130"/>
      <c r="AM908" s="130"/>
      <c r="AN908" s="130"/>
      <c r="AO908" s="130"/>
      <c r="AP908" s="130"/>
      <c r="AQ908" s="130"/>
      <c r="AR908" s="130"/>
      <c r="AS908" s="130"/>
      <c r="BC908" s="250"/>
      <c r="BE908" s="119"/>
    </row>
    <row r="909" spans="34:57" ht="14.15" customHeight="1" x14ac:dyDescent="0.35">
      <c r="AH909" s="114"/>
      <c r="AI909" s="114"/>
      <c r="AJ909" s="130"/>
      <c r="AK909" s="130"/>
      <c r="AL909" s="130"/>
      <c r="AM909" s="130"/>
      <c r="AN909" s="130"/>
      <c r="AO909" s="130"/>
      <c r="AP909" s="130"/>
      <c r="AQ909" s="130"/>
      <c r="AR909" s="130"/>
      <c r="AS909" s="130"/>
      <c r="BC909" s="250"/>
      <c r="BE909" s="119"/>
    </row>
    <row r="910" spans="34:57" ht="14.15" customHeight="1" x14ac:dyDescent="0.35">
      <c r="AH910" s="114"/>
      <c r="AI910" s="114"/>
      <c r="AJ910" s="130"/>
      <c r="AK910" s="130"/>
      <c r="AL910" s="130"/>
      <c r="AM910" s="130"/>
      <c r="AN910" s="130"/>
      <c r="AO910" s="130"/>
      <c r="AP910" s="130"/>
      <c r="AQ910" s="130"/>
      <c r="AR910" s="130"/>
      <c r="AS910" s="130"/>
      <c r="BC910" s="250"/>
      <c r="BE910" s="119"/>
    </row>
    <row r="911" spans="34:57" ht="14.15" customHeight="1" x14ac:dyDescent="0.35">
      <c r="AH911" s="114"/>
      <c r="AI911" s="114"/>
      <c r="AJ911" s="130"/>
      <c r="AK911" s="130"/>
      <c r="AL911" s="130"/>
      <c r="AM911" s="130"/>
      <c r="AN911" s="130"/>
      <c r="AO911" s="130"/>
      <c r="AP911" s="130"/>
      <c r="AQ911" s="130"/>
      <c r="AR911" s="130"/>
      <c r="AS911" s="130"/>
      <c r="BC911" s="250"/>
      <c r="BE911" s="119"/>
    </row>
    <row r="912" spans="34:57" ht="14.15" customHeight="1" x14ac:dyDescent="0.35">
      <c r="AH912" s="114"/>
      <c r="AI912" s="114"/>
      <c r="AJ912" s="130"/>
      <c r="AK912" s="130"/>
      <c r="AL912" s="130"/>
      <c r="AM912" s="130"/>
      <c r="AN912" s="130"/>
      <c r="AO912" s="130"/>
      <c r="AP912" s="130"/>
      <c r="AQ912" s="130"/>
      <c r="AR912" s="130"/>
      <c r="AS912" s="130"/>
      <c r="BC912" s="250"/>
      <c r="BE912" s="119"/>
    </row>
    <row r="913" spans="34:57" ht="14.15" customHeight="1" x14ac:dyDescent="0.35">
      <c r="AH913" s="114"/>
      <c r="AI913" s="114"/>
      <c r="AJ913" s="130"/>
      <c r="AK913" s="130"/>
      <c r="AL913" s="130"/>
      <c r="AM913" s="130"/>
      <c r="AN913" s="130"/>
      <c r="AO913" s="130"/>
      <c r="AP913" s="130"/>
      <c r="AQ913" s="130"/>
      <c r="AR913" s="130"/>
      <c r="AS913" s="130"/>
      <c r="BC913" s="250"/>
      <c r="BE913" s="119"/>
    </row>
    <row r="914" spans="34:57" ht="14.15" customHeight="1" x14ac:dyDescent="0.35">
      <c r="AH914" s="114"/>
      <c r="AI914" s="114"/>
      <c r="AJ914" s="130"/>
      <c r="AK914" s="130"/>
      <c r="AL914" s="130"/>
      <c r="AM914" s="130"/>
      <c r="AN914" s="130"/>
      <c r="AO914" s="130"/>
      <c r="AP914" s="130"/>
      <c r="AQ914" s="130"/>
      <c r="AR914" s="130"/>
      <c r="AS914" s="130"/>
      <c r="BC914" s="250"/>
      <c r="BE914" s="119"/>
    </row>
    <row r="915" spans="34:57" ht="14.15" customHeight="1" x14ac:dyDescent="0.35">
      <c r="AH915" s="114"/>
      <c r="AI915" s="114"/>
      <c r="AJ915" s="130"/>
      <c r="AK915" s="130"/>
      <c r="AL915" s="130"/>
      <c r="AM915" s="130"/>
      <c r="AN915" s="130"/>
      <c r="AO915" s="130"/>
      <c r="AP915" s="130"/>
      <c r="AQ915" s="130"/>
      <c r="AR915" s="130"/>
      <c r="AS915" s="130"/>
      <c r="BC915" s="250"/>
      <c r="BE915" s="119"/>
    </row>
    <row r="916" spans="34:57" ht="14.15" customHeight="1" x14ac:dyDescent="0.35">
      <c r="AH916" s="114"/>
      <c r="AI916" s="114"/>
      <c r="AJ916" s="130"/>
      <c r="AK916" s="130"/>
      <c r="AL916" s="130"/>
      <c r="AM916" s="130"/>
      <c r="AN916" s="130"/>
      <c r="AO916" s="130"/>
      <c r="AP916" s="130"/>
      <c r="AQ916" s="130"/>
      <c r="AR916" s="130"/>
      <c r="AS916" s="130"/>
      <c r="BC916" s="250"/>
      <c r="BE916" s="119"/>
    </row>
    <row r="917" spans="34:57" ht="14.15" customHeight="1" x14ac:dyDescent="0.35">
      <c r="AH917" s="114"/>
      <c r="AI917" s="114"/>
      <c r="AJ917" s="130"/>
      <c r="AK917" s="130"/>
      <c r="AL917" s="130"/>
      <c r="AM917" s="130"/>
      <c r="AN917" s="130"/>
      <c r="AO917" s="130"/>
      <c r="AP917" s="130"/>
      <c r="AQ917" s="130"/>
      <c r="AR917" s="130"/>
      <c r="AS917" s="130"/>
      <c r="BC917" s="250"/>
      <c r="BE917" s="119"/>
    </row>
    <row r="918" spans="34:57" ht="14.15" customHeight="1" x14ac:dyDescent="0.35">
      <c r="AH918" s="114"/>
      <c r="AI918" s="114"/>
      <c r="AJ918" s="130"/>
      <c r="AK918" s="130"/>
      <c r="AL918" s="130"/>
      <c r="AM918" s="130"/>
      <c r="AN918" s="130"/>
      <c r="AO918" s="130"/>
      <c r="AP918" s="130"/>
      <c r="AQ918" s="130"/>
      <c r="AR918" s="130"/>
      <c r="AS918" s="130"/>
      <c r="BC918" s="250"/>
      <c r="BE918" s="119"/>
    </row>
    <row r="919" spans="34:57" ht="14.15" customHeight="1" x14ac:dyDescent="0.35">
      <c r="AH919" s="114"/>
      <c r="AI919" s="114"/>
      <c r="AJ919" s="130"/>
      <c r="AK919" s="130"/>
      <c r="AL919" s="130"/>
      <c r="AM919" s="130"/>
      <c r="AN919" s="130"/>
      <c r="AO919" s="130"/>
      <c r="AP919" s="130"/>
      <c r="AQ919" s="130"/>
      <c r="AR919" s="130"/>
      <c r="AS919" s="130"/>
      <c r="BC919" s="250"/>
      <c r="BE919" s="119"/>
    </row>
    <row r="920" spans="34:57" ht="14.15" customHeight="1" x14ac:dyDescent="0.35">
      <c r="AH920" s="114"/>
      <c r="AI920" s="114"/>
      <c r="AJ920" s="130"/>
      <c r="AK920" s="130"/>
      <c r="AL920" s="130"/>
      <c r="AM920" s="130"/>
      <c r="AN920" s="130"/>
      <c r="AO920" s="130"/>
      <c r="AP920" s="130"/>
      <c r="AQ920" s="130"/>
      <c r="AR920" s="130"/>
      <c r="AS920" s="130"/>
      <c r="BC920" s="250"/>
      <c r="BE920" s="119"/>
    </row>
    <row r="921" spans="34:57" ht="14.15" customHeight="1" x14ac:dyDescent="0.35">
      <c r="AH921" s="114"/>
      <c r="AI921" s="114"/>
      <c r="AJ921" s="130"/>
      <c r="AK921" s="130"/>
      <c r="AL921" s="130"/>
      <c r="AM921" s="130"/>
      <c r="AN921" s="130"/>
      <c r="AO921" s="130"/>
      <c r="AP921" s="130"/>
      <c r="AQ921" s="130"/>
      <c r="AR921" s="130"/>
      <c r="AS921" s="130"/>
      <c r="BC921" s="250"/>
      <c r="BE921" s="119"/>
    </row>
    <row r="922" spans="34:57" ht="14.15" customHeight="1" x14ac:dyDescent="0.35">
      <c r="AH922" s="114"/>
      <c r="AI922" s="114"/>
      <c r="AJ922" s="130"/>
      <c r="AK922" s="130"/>
      <c r="AL922" s="130"/>
      <c r="AM922" s="130"/>
      <c r="AN922" s="130"/>
      <c r="AO922" s="130"/>
      <c r="AP922" s="130"/>
      <c r="AQ922" s="130"/>
      <c r="AR922" s="130"/>
      <c r="AS922" s="130"/>
      <c r="BC922" s="250"/>
      <c r="BE922" s="119"/>
    </row>
    <row r="923" spans="34:57" ht="14.15" customHeight="1" x14ac:dyDescent="0.35">
      <c r="AH923" s="114"/>
      <c r="AI923" s="114"/>
      <c r="AJ923" s="130"/>
      <c r="AK923" s="130"/>
      <c r="AL923" s="130"/>
      <c r="AM923" s="130"/>
      <c r="AN923" s="130"/>
      <c r="AO923" s="130"/>
      <c r="AP923" s="130"/>
      <c r="AQ923" s="130"/>
      <c r="AR923" s="130"/>
      <c r="AS923" s="130"/>
      <c r="BC923" s="250"/>
      <c r="BE923" s="119"/>
    </row>
    <row r="924" spans="34:57" ht="14.15" customHeight="1" x14ac:dyDescent="0.35">
      <c r="AH924" s="114"/>
      <c r="AI924" s="114"/>
      <c r="AJ924" s="130"/>
      <c r="AK924" s="130"/>
      <c r="AL924" s="130"/>
      <c r="AM924" s="130"/>
      <c r="AN924" s="130"/>
      <c r="AO924" s="130"/>
      <c r="AP924" s="130"/>
      <c r="AQ924" s="130"/>
      <c r="AR924" s="130"/>
      <c r="AS924" s="130"/>
      <c r="BC924" s="250"/>
      <c r="BE924" s="119"/>
    </row>
    <row r="925" spans="34:57" ht="14.15" customHeight="1" x14ac:dyDescent="0.35">
      <c r="AH925" s="114"/>
      <c r="AI925" s="114"/>
      <c r="AJ925" s="130"/>
      <c r="AK925" s="130"/>
      <c r="AL925" s="130"/>
      <c r="AM925" s="130"/>
      <c r="AN925" s="130"/>
      <c r="AO925" s="130"/>
      <c r="AP925" s="130"/>
      <c r="AQ925" s="130"/>
      <c r="AR925" s="130"/>
      <c r="AS925" s="130"/>
      <c r="BC925" s="250"/>
      <c r="BE925" s="119"/>
    </row>
    <row r="926" spans="34:57" ht="14.15" customHeight="1" x14ac:dyDescent="0.35">
      <c r="AH926" s="114"/>
      <c r="AI926" s="114"/>
      <c r="AJ926" s="130"/>
      <c r="AK926" s="130"/>
      <c r="AL926" s="130"/>
      <c r="AM926" s="130"/>
      <c r="AN926" s="130"/>
      <c r="AO926" s="130"/>
      <c r="AP926" s="130"/>
      <c r="AQ926" s="130"/>
      <c r="AR926" s="130"/>
      <c r="AS926" s="130"/>
      <c r="BC926" s="250"/>
      <c r="BE926" s="119"/>
    </row>
    <row r="927" spans="34:57" ht="14.15" customHeight="1" x14ac:dyDescent="0.35">
      <c r="AH927" s="114"/>
      <c r="AI927" s="114"/>
      <c r="AJ927" s="130"/>
      <c r="AK927" s="130"/>
      <c r="AL927" s="130"/>
      <c r="AM927" s="130"/>
      <c r="AN927" s="130"/>
      <c r="AO927" s="130"/>
      <c r="AP927" s="130"/>
      <c r="AQ927" s="130"/>
      <c r="AR927" s="130"/>
      <c r="AS927" s="130"/>
      <c r="BC927" s="250"/>
      <c r="BE927" s="119"/>
    </row>
    <row r="928" spans="34:57" ht="14.15" customHeight="1" x14ac:dyDescent="0.35">
      <c r="AH928" s="114"/>
      <c r="AI928" s="114"/>
      <c r="AJ928" s="130"/>
      <c r="AK928" s="130"/>
      <c r="AL928" s="130"/>
      <c r="AM928" s="130"/>
      <c r="AN928" s="130"/>
      <c r="AO928" s="130"/>
      <c r="AP928" s="130"/>
      <c r="AQ928" s="130"/>
      <c r="AR928" s="130"/>
      <c r="AS928" s="130"/>
      <c r="BC928" s="250"/>
      <c r="BE928" s="119"/>
    </row>
    <row r="929" spans="34:57" ht="14.15" customHeight="1" x14ac:dyDescent="0.35">
      <c r="AH929" s="114"/>
      <c r="AI929" s="114"/>
      <c r="AJ929" s="130"/>
      <c r="AK929" s="130"/>
      <c r="AL929" s="130"/>
      <c r="AM929" s="130"/>
      <c r="AN929" s="130"/>
      <c r="AO929" s="130"/>
      <c r="AP929" s="130"/>
      <c r="AQ929" s="130"/>
      <c r="AR929" s="130"/>
      <c r="AS929" s="130"/>
      <c r="BC929" s="250"/>
      <c r="BE929" s="119"/>
    </row>
    <row r="930" spans="34:57" ht="14.15" customHeight="1" x14ac:dyDescent="0.35">
      <c r="AH930" s="114"/>
      <c r="AI930" s="114"/>
      <c r="AJ930" s="130"/>
      <c r="AK930" s="130"/>
      <c r="AL930" s="130"/>
      <c r="AM930" s="130"/>
      <c r="AN930" s="130"/>
      <c r="AO930" s="130"/>
      <c r="AP930" s="130"/>
      <c r="AQ930" s="130"/>
      <c r="AR930" s="130"/>
      <c r="AS930" s="130"/>
      <c r="BC930" s="250"/>
      <c r="BE930" s="119"/>
    </row>
    <row r="931" spans="34:57" ht="14.15" customHeight="1" x14ac:dyDescent="0.35">
      <c r="AH931" s="114"/>
      <c r="AI931" s="114"/>
      <c r="AJ931" s="130"/>
      <c r="AK931" s="130"/>
      <c r="AL931" s="130"/>
      <c r="AM931" s="130"/>
      <c r="AN931" s="130"/>
      <c r="AO931" s="130"/>
      <c r="AP931" s="130"/>
      <c r="AQ931" s="130"/>
      <c r="AR931" s="130"/>
      <c r="AS931" s="130"/>
      <c r="BC931" s="250"/>
      <c r="BE931" s="119"/>
    </row>
    <row r="932" spans="34:57" ht="14.15" customHeight="1" x14ac:dyDescent="0.35">
      <c r="AH932" s="114"/>
      <c r="AI932" s="114"/>
      <c r="AJ932" s="130"/>
      <c r="AK932" s="130"/>
      <c r="AL932" s="130"/>
      <c r="AM932" s="130"/>
      <c r="AN932" s="130"/>
      <c r="AO932" s="130"/>
      <c r="AP932" s="130"/>
      <c r="AQ932" s="130"/>
      <c r="AR932" s="130"/>
      <c r="AS932" s="130"/>
      <c r="BC932" s="250"/>
      <c r="BE932" s="119"/>
    </row>
    <row r="933" spans="34:57" ht="14.15" customHeight="1" x14ac:dyDescent="0.35">
      <c r="AH933" s="114"/>
      <c r="AI933" s="114"/>
      <c r="AJ933" s="130"/>
      <c r="AK933" s="130"/>
      <c r="AL933" s="130"/>
      <c r="AM933" s="130"/>
      <c r="AN933" s="130"/>
      <c r="AO933" s="130"/>
      <c r="AP933" s="130"/>
      <c r="AQ933" s="130"/>
      <c r="AR933" s="130"/>
      <c r="AS933" s="130"/>
      <c r="BC933" s="250"/>
      <c r="BE933" s="119"/>
    </row>
    <row r="934" spans="34:57" ht="14.15" customHeight="1" x14ac:dyDescent="0.35">
      <c r="AH934" s="114"/>
      <c r="AI934" s="114"/>
      <c r="AJ934" s="130"/>
      <c r="AK934" s="130"/>
      <c r="AL934" s="130"/>
      <c r="AM934" s="130"/>
      <c r="AN934" s="130"/>
      <c r="AO934" s="130"/>
      <c r="AP934" s="130"/>
      <c r="AQ934" s="130"/>
      <c r="AR934" s="130"/>
      <c r="AS934" s="130"/>
      <c r="BC934" s="250"/>
      <c r="BE934" s="119"/>
    </row>
    <row r="935" spans="34:57" ht="14.15" customHeight="1" x14ac:dyDescent="0.35">
      <c r="AH935" s="114"/>
      <c r="AI935" s="114"/>
      <c r="AJ935" s="130"/>
      <c r="AK935" s="130"/>
      <c r="AL935" s="130"/>
      <c r="AM935" s="130"/>
      <c r="AN935" s="130"/>
      <c r="AO935" s="130"/>
      <c r="AP935" s="130"/>
      <c r="AQ935" s="130"/>
      <c r="AR935" s="130"/>
      <c r="AS935" s="130"/>
      <c r="BC935" s="250"/>
      <c r="BE935" s="119"/>
    </row>
    <row r="936" spans="34:57" ht="14.15" customHeight="1" x14ac:dyDescent="0.35">
      <c r="AH936" s="114"/>
      <c r="AI936" s="114"/>
      <c r="AJ936" s="130"/>
      <c r="AK936" s="130"/>
      <c r="AL936" s="130"/>
      <c r="AM936" s="130"/>
      <c r="AN936" s="130"/>
      <c r="AO936" s="130"/>
      <c r="AP936" s="130"/>
      <c r="AQ936" s="130"/>
      <c r="AR936" s="130"/>
      <c r="AS936" s="130"/>
      <c r="BC936" s="250"/>
      <c r="BE936" s="119"/>
    </row>
    <row r="937" spans="34:57" ht="14.15" customHeight="1" x14ac:dyDescent="0.35">
      <c r="AH937" s="114"/>
      <c r="AI937" s="114"/>
      <c r="AJ937" s="130"/>
      <c r="AK937" s="130"/>
      <c r="AL937" s="130"/>
      <c r="AM937" s="130"/>
      <c r="AN937" s="130"/>
      <c r="AO937" s="130"/>
      <c r="AP937" s="130"/>
      <c r="AQ937" s="130"/>
      <c r="AR937" s="130"/>
      <c r="AS937" s="130"/>
      <c r="BC937" s="250"/>
      <c r="BE937" s="119"/>
    </row>
    <row r="938" spans="34:57" ht="14.15" customHeight="1" x14ac:dyDescent="0.35">
      <c r="AH938" s="114"/>
      <c r="AI938" s="114"/>
      <c r="AJ938" s="130"/>
      <c r="AK938" s="130"/>
      <c r="AL938" s="130"/>
      <c r="AM938" s="130"/>
      <c r="AN938" s="130"/>
      <c r="AO938" s="130"/>
      <c r="AP938" s="130"/>
      <c r="AQ938" s="130"/>
      <c r="AR938" s="130"/>
      <c r="AS938" s="130"/>
      <c r="BC938" s="250"/>
      <c r="BE938" s="119"/>
    </row>
    <row r="939" spans="34:57" ht="14.15" customHeight="1" x14ac:dyDescent="0.35">
      <c r="AH939" s="114"/>
      <c r="AI939" s="114"/>
      <c r="AJ939" s="130"/>
      <c r="AK939" s="130"/>
      <c r="AL939" s="130"/>
      <c r="AM939" s="130"/>
      <c r="AN939" s="130"/>
      <c r="AO939" s="130"/>
      <c r="AP939" s="130"/>
      <c r="AQ939" s="130"/>
      <c r="AR939" s="130"/>
      <c r="AS939" s="130"/>
      <c r="BC939" s="250"/>
      <c r="BE939" s="119"/>
    </row>
    <row r="940" spans="34:57" ht="14.15" customHeight="1" x14ac:dyDescent="0.35">
      <c r="AH940" s="114"/>
      <c r="AI940" s="114"/>
      <c r="AJ940" s="130"/>
      <c r="AK940" s="130"/>
      <c r="AL940" s="130"/>
      <c r="AM940" s="130"/>
      <c r="AN940" s="130"/>
      <c r="AO940" s="130"/>
      <c r="AP940" s="130"/>
      <c r="AQ940" s="130"/>
      <c r="AR940" s="130"/>
      <c r="AS940" s="130"/>
      <c r="BC940" s="250"/>
      <c r="BE940" s="119"/>
    </row>
    <row r="941" spans="34:57" ht="14.15" customHeight="1" x14ac:dyDescent="0.35">
      <c r="AH941" s="114"/>
      <c r="AI941" s="114"/>
      <c r="AJ941" s="130"/>
      <c r="AK941" s="130"/>
      <c r="AL941" s="130"/>
      <c r="AM941" s="130"/>
      <c r="AN941" s="130"/>
      <c r="AO941" s="130"/>
      <c r="AP941" s="130"/>
      <c r="AQ941" s="130"/>
      <c r="AR941" s="130"/>
      <c r="AS941" s="130"/>
      <c r="BC941" s="250"/>
      <c r="BE941" s="119"/>
    </row>
    <row r="942" spans="34:57" ht="14.15" customHeight="1" x14ac:dyDescent="0.35">
      <c r="AH942" s="114"/>
      <c r="AI942" s="114"/>
      <c r="AJ942" s="130"/>
      <c r="AK942" s="130"/>
      <c r="AL942" s="130"/>
      <c r="AM942" s="130"/>
      <c r="AN942" s="130"/>
      <c r="AO942" s="130"/>
      <c r="AP942" s="130"/>
      <c r="AQ942" s="130"/>
      <c r="AR942" s="130"/>
      <c r="AS942" s="130"/>
      <c r="BC942" s="250"/>
      <c r="BE942" s="119"/>
    </row>
    <row r="943" spans="34:57" ht="14.15" customHeight="1" x14ac:dyDescent="0.35">
      <c r="AH943" s="114"/>
      <c r="AI943" s="114"/>
      <c r="AJ943" s="130"/>
      <c r="AK943" s="130"/>
      <c r="AL943" s="130"/>
      <c r="AM943" s="130"/>
      <c r="AN943" s="130"/>
      <c r="AO943" s="130"/>
      <c r="AP943" s="130"/>
      <c r="AQ943" s="130"/>
      <c r="AR943" s="130"/>
      <c r="AS943" s="130"/>
      <c r="BC943" s="250"/>
      <c r="BE943" s="119"/>
    </row>
    <row r="944" spans="34:57" ht="14.15" customHeight="1" x14ac:dyDescent="0.35">
      <c r="AH944" s="114"/>
      <c r="AI944" s="114"/>
      <c r="AJ944" s="130"/>
      <c r="AK944" s="130"/>
      <c r="AL944" s="130"/>
      <c r="AM944" s="130"/>
      <c r="AN944" s="130"/>
      <c r="AO944" s="130"/>
      <c r="AP944" s="130"/>
      <c r="AQ944" s="130"/>
      <c r="AR944" s="130"/>
      <c r="AS944" s="130"/>
      <c r="BC944" s="250"/>
      <c r="BE944" s="119"/>
    </row>
    <row r="945" spans="34:57" ht="14.15" customHeight="1" x14ac:dyDescent="0.35">
      <c r="AH945" s="114"/>
      <c r="AI945" s="114"/>
      <c r="AJ945" s="130"/>
      <c r="AK945" s="130"/>
      <c r="AL945" s="130"/>
      <c r="AM945" s="130"/>
      <c r="AN945" s="130"/>
      <c r="AO945" s="130"/>
      <c r="AP945" s="130"/>
      <c r="AQ945" s="130"/>
      <c r="AR945" s="130"/>
      <c r="AS945" s="130"/>
      <c r="BC945" s="250"/>
      <c r="BE945" s="119"/>
    </row>
    <row r="946" spans="34:57" ht="14.15" customHeight="1" x14ac:dyDescent="0.35">
      <c r="AH946" s="114"/>
      <c r="AI946" s="114"/>
      <c r="AJ946" s="130"/>
      <c r="AK946" s="130"/>
      <c r="AL946" s="130"/>
      <c r="AM946" s="130"/>
      <c r="AN946" s="130"/>
      <c r="AO946" s="130"/>
      <c r="AP946" s="130"/>
      <c r="AQ946" s="130"/>
      <c r="AR946" s="130"/>
      <c r="AS946" s="130"/>
      <c r="BC946" s="250"/>
      <c r="BE946" s="119"/>
    </row>
    <row r="947" spans="34:57" ht="14.15" customHeight="1" x14ac:dyDescent="0.35">
      <c r="AH947" s="114"/>
      <c r="AI947" s="114"/>
      <c r="AJ947" s="130"/>
      <c r="AK947" s="130"/>
      <c r="AL947" s="130"/>
      <c r="AM947" s="130"/>
      <c r="AN947" s="130"/>
      <c r="AO947" s="130"/>
      <c r="AP947" s="130"/>
      <c r="AQ947" s="130"/>
      <c r="AR947" s="130"/>
      <c r="AS947" s="130"/>
      <c r="BC947" s="250"/>
      <c r="BE947" s="119"/>
    </row>
    <row r="948" spans="34:57" ht="14.15" customHeight="1" x14ac:dyDescent="0.35">
      <c r="AH948" s="114"/>
      <c r="AI948" s="114"/>
      <c r="AJ948" s="130"/>
      <c r="AK948" s="130"/>
      <c r="AL948" s="130"/>
      <c r="AM948" s="130"/>
      <c r="AN948" s="130"/>
      <c r="AO948" s="130"/>
      <c r="AP948" s="130"/>
      <c r="AQ948" s="130"/>
      <c r="AR948" s="130"/>
      <c r="AS948" s="130"/>
      <c r="BC948" s="250"/>
      <c r="BE948" s="119"/>
    </row>
    <row r="949" spans="34:57" ht="14.15" customHeight="1" x14ac:dyDescent="0.35">
      <c r="AH949" s="114"/>
      <c r="AI949" s="114"/>
      <c r="AJ949" s="130"/>
      <c r="AK949" s="130"/>
      <c r="AL949" s="130"/>
      <c r="AM949" s="130"/>
      <c r="AN949" s="130"/>
      <c r="AO949" s="130"/>
      <c r="AP949" s="130"/>
      <c r="AQ949" s="130"/>
      <c r="AR949" s="130"/>
      <c r="AS949" s="130"/>
      <c r="BC949" s="250"/>
      <c r="BE949" s="119"/>
    </row>
    <row r="950" spans="34:57" ht="14.15" customHeight="1" x14ac:dyDescent="0.35">
      <c r="AH950" s="114"/>
      <c r="AI950" s="114"/>
      <c r="AJ950" s="130"/>
      <c r="AK950" s="130"/>
      <c r="AL950" s="130"/>
      <c r="AM950" s="130"/>
      <c r="AN950" s="130"/>
      <c r="AO950" s="130"/>
      <c r="AP950" s="130"/>
      <c r="AQ950" s="130"/>
      <c r="AR950" s="130"/>
      <c r="AS950" s="130"/>
      <c r="BC950" s="250"/>
      <c r="BE950" s="119"/>
    </row>
    <row r="951" spans="34:57" ht="14.15" customHeight="1" x14ac:dyDescent="0.35">
      <c r="AH951" s="114"/>
      <c r="AI951" s="114"/>
      <c r="AJ951" s="130"/>
      <c r="AK951" s="130"/>
      <c r="AL951" s="130"/>
      <c r="AM951" s="130"/>
      <c r="AN951" s="130"/>
      <c r="AO951" s="130"/>
      <c r="AP951" s="130"/>
      <c r="AQ951" s="130"/>
      <c r="AR951" s="130"/>
      <c r="AS951" s="130"/>
      <c r="BC951" s="250"/>
      <c r="BE951" s="119"/>
    </row>
    <row r="952" spans="34:57" ht="14.15" customHeight="1" x14ac:dyDescent="0.35">
      <c r="AH952" s="114"/>
      <c r="AI952" s="114"/>
      <c r="AJ952" s="130"/>
      <c r="AK952" s="130"/>
      <c r="AL952" s="130"/>
      <c r="AM952" s="130"/>
      <c r="AN952" s="130"/>
      <c r="AO952" s="130"/>
      <c r="AP952" s="130"/>
      <c r="AQ952" s="130"/>
      <c r="AR952" s="130"/>
      <c r="AS952" s="130"/>
      <c r="BC952" s="250"/>
      <c r="BE952" s="119"/>
    </row>
    <row r="953" spans="34:57" ht="14.15" customHeight="1" x14ac:dyDescent="0.35">
      <c r="AH953" s="114"/>
      <c r="AI953" s="114"/>
      <c r="AJ953" s="130"/>
      <c r="AK953" s="130"/>
      <c r="AL953" s="130"/>
      <c r="AM953" s="130"/>
      <c r="AN953" s="130"/>
      <c r="AO953" s="130"/>
      <c r="AP953" s="130"/>
      <c r="AQ953" s="130"/>
      <c r="AR953" s="130"/>
      <c r="AS953" s="130"/>
      <c r="BC953" s="250"/>
      <c r="BE953" s="119"/>
    </row>
    <row r="954" spans="34:57" ht="14.15" customHeight="1" x14ac:dyDescent="0.35">
      <c r="AH954" s="114"/>
      <c r="AI954" s="114"/>
      <c r="AJ954" s="130"/>
      <c r="AK954" s="130"/>
      <c r="AL954" s="130"/>
      <c r="AM954" s="130"/>
      <c r="AN954" s="130"/>
      <c r="AO954" s="130"/>
      <c r="AP954" s="130"/>
      <c r="AQ954" s="130"/>
      <c r="AR954" s="130"/>
      <c r="AS954" s="130"/>
      <c r="BC954" s="250"/>
      <c r="BE954" s="119"/>
    </row>
    <row r="955" spans="34:57" ht="14.15" customHeight="1" x14ac:dyDescent="0.35">
      <c r="AH955" s="114"/>
      <c r="AI955" s="114"/>
      <c r="AJ955" s="130"/>
      <c r="AK955" s="130"/>
      <c r="AL955" s="130"/>
      <c r="AM955" s="130"/>
      <c r="AN955" s="130"/>
      <c r="AO955" s="130"/>
      <c r="AP955" s="130"/>
      <c r="AQ955" s="130"/>
      <c r="AR955" s="130"/>
      <c r="AS955" s="130"/>
      <c r="BC955" s="250"/>
      <c r="BE955" s="119"/>
    </row>
    <row r="956" spans="34:57" ht="14.15" customHeight="1" x14ac:dyDescent="0.35">
      <c r="AH956" s="114"/>
      <c r="AI956" s="114"/>
      <c r="AJ956" s="130"/>
      <c r="AK956" s="130"/>
      <c r="AL956" s="130"/>
      <c r="AM956" s="130"/>
      <c r="AN956" s="130"/>
      <c r="AO956" s="130"/>
      <c r="AP956" s="130"/>
      <c r="AQ956" s="130"/>
      <c r="AR956" s="130"/>
      <c r="AS956" s="130"/>
      <c r="BC956" s="250"/>
      <c r="BE956" s="119"/>
    </row>
    <row r="957" spans="34:57" ht="14.15" customHeight="1" x14ac:dyDescent="0.35">
      <c r="AH957" s="114"/>
      <c r="AI957" s="114"/>
      <c r="AJ957" s="130"/>
      <c r="AK957" s="130"/>
      <c r="AL957" s="130"/>
      <c r="AM957" s="130"/>
      <c r="AN957" s="130"/>
      <c r="AO957" s="130"/>
      <c r="AP957" s="130"/>
      <c r="AQ957" s="130"/>
      <c r="AR957" s="130"/>
      <c r="AS957" s="130"/>
      <c r="BC957" s="250"/>
      <c r="BE957" s="119"/>
    </row>
    <row r="958" spans="34:57" ht="14.15" customHeight="1" x14ac:dyDescent="0.35">
      <c r="AH958" s="114"/>
      <c r="AI958" s="114"/>
      <c r="AJ958" s="130"/>
      <c r="AK958" s="130"/>
      <c r="AL958" s="130"/>
      <c r="AM958" s="130"/>
      <c r="AN958" s="130"/>
      <c r="AO958" s="130"/>
      <c r="AP958" s="130"/>
      <c r="AQ958" s="130"/>
      <c r="AR958" s="130"/>
      <c r="AS958" s="130"/>
      <c r="BC958" s="250"/>
      <c r="BE958" s="119"/>
    </row>
    <row r="959" spans="34:57" ht="14.15" customHeight="1" x14ac:dyDescent="0.35">
      <c r="AH959" s="114"/>
      <c r="AI959" s="114"/>
      <c r="AJ959" s="130"/>
      <c r="AK959" s="130"/>
      <c r="AL959" s="130"/>
      <c r="AM959" s="130"/>
      <c r="AN959" s="130"/>
      <c r="AO959" s="130"/>
      <c r="AP959" s="130"/>
      <c r="AQ959" s="130"/>
      <c r="AR959" s="130"/>
      <c r="AS959" s="130"/>
      <c r="BC959" s="250"/>
      <c r="BE959" s="119"/>
    </row>
    <row r="960" spans="34:57" ht="14.15" customHeight="1" x14ac:dyDescent="0.35">
      <c r="AH960" s="114"/>
      <c r="AI960" s="114"/>
      <c r="AJ960" s="130"/>
      <c r="AK960" s="130"/>
      <c r="AL960" s="130"/>
      <c r="AM960" s="130"/>
      <c r="AN960" s="130"/>
      <c r="AO960" s="130"/>
      <c r="AP960" s="130"/>
      <c r="AQ960" s="130"/>
      <c r="AR960" s="130"/>
      <c r="AS960" s="130"/>
      <c r="BC960" s="250"/>
      <c r="BE960" s="119"/>
    </row>
    <row r="961" spans="34:57" ht="14.15" customHeight="1" x14ac:dyDescent="0.35">
      <c r="AH961" s="114"/>
      <c r="AI961" s="114"/>
      <c r="AJ961" s="130"/>
      <c r="AK961" s="130"/>
      <c r="AL961" s="130"/>
      <c r="AM961" s="130"/>
      <c r="AN961" s="130"/>
      <c r="AO961" s="130"/>
      <c r="AP961" s="130"/>
      <c r="AQ961" s="130"/>
      <c r="AR961" s="130"/>
      <c r="AS961" s="130"/>
      <c r="BC961" s="250"/>
      <c r="BE961" s="119"/>
    </row>
    <row r="962" spans="34:57" ht="14.15" customHeight="1" x14ac:dyDescent="0.35">
      <c r="AH962" s="114"/>
      <c r="AI962" s="114"/>
      <c r="AJ962" s="130"/>
      <c r="AK962" s="130"/>
      <c r="AL962" s="130"/>
      <c r="AM962" s="130"/>
      <c r="AN962" s="130"/>
      <c r="AO962" s="130"/>
      <c r="AP962" s="130"/>
      <c r="AQ962" s="130"/>
      <c r="AR962" s="130"/>
      <c r="AS962" s="130"/>
      <c r="BC962" s="250"/>
      <c r="BE962" s="119"/>
    </row>
    <row r="963" spans="34:57" ht="14.15" customHeight="1" x14ac:dyDescent="0.35">
      <c r="AH963" s="114"/>
      <c r="AI963" s="114"/>
      <c r="AJ963" s="130"/>
      <c r="AK963" s="130"/>
      <c r="AL963" s="130"/>
      <c r="AM963" s="130"/>
      <c r="AN963" s="130"/>
      <c r="AO963" s="130"/>
      <c r="AP963" s="130"/>
      <c r="AQ963" s="130"/>
      <c r="AR963" s="130"/>
      <c r="AS963" s="130"/>
      <c r="BC963" s="250"/>
      <c r="BE963" s="119"/>
    </row>
    <row r="964" spans="34:57" ht="14.15" customHeight="1" x14ac:dyDescent="0.35">
      <c r="AH964" s="114"/>
      <c r="AI964" s="114"/>
      <c r="AJ964" s="130"/>
      <c r="AK964" s="130"/>
      <c r="AL964" s="130"/>
      <c r="AM964" s="130"/>
      <c r="AN964" s="130"/>
      <c r="AO964" s="130"/>
      <c r="AP964" s="130"/>
      <c r="AQ964" s="130"/>
      <c r="AR964" s="130"/>
      <c r="AS964" s="130"/>
      <c r="BC964" s="250"/>
      <c r="BE964" s="119"/>
    </row>
    <row r="965" spans="34:57" ht="14.15" customHeight="1" x14ac:dyDescent="0.35">
      <c r="AH965" s="114"/>
      <c r="AI965" s="114"/>
      <c r="AJ965" s="130"/>
      <c r="AK965" s="130"/>
      <c r="AL965" s="130"/>
      <c r="AM965" s="130"/>
      <c r="AN965" s="130"/>
      <c r="AO965" s="130"/>
      <c r="AP965" s="130"/>
      <c r="AQ965" s="130"/>
      <c r="AR965" s="130"/>
      <c r="AS965" s="130"/>
      <c r="BC965" s="250"/>
      <c r="BE965" s="119"/>
    </row>
    <row r="966" spans="34:57" ht="14.15" customHeight="1" x14ac:dyDescent="0.35">
      <c r="AH966" s="114"/>
      <c r="AI966" s="114"/>
      <c r="AJ966" s="130"/>
      <c r="AK966" s="130"/>
      <c r="AL966" s="130"/>
      <c r="AM966" s="130"/>
      <c r="AN966" s="130"/>
      <c r="AO966" s="130"/>
      <c r="AP966" s="130"/>
      <c r="AQ966" s="130"/>
      <c r="AR966" s="130"/>
      <c r="AS966" s="130"/>
      <c r="BC966" s="250"/>
      <c r="BE966" s="119"/>
    </row>
    <row r="967" spans="34:57" ht="14.15" customHeight="1" x14ac:dyDescent="0.35">
      <c r="AH967" s="114"/>
      <c r="AI967" s="114"/>
      <c r="AJ967" s="130"/>
      <c r="AK967" s="130"/>
      <c r="AL967" s="130"/>
      <c r="AM967" s="130"/>
      <c r="AN967" s="130"/>
      <c r="AO967" s="130"/>
      <c r="AP967" s="130"/>
      <c r="AQ967" s="130"/>
      <c r="AR967" s="130"/>
      <c r="AS967" s="130"/>
      <c r="BC967" s="250"/>
      <c r="BE967" s="119"/>
    </row>
    <row r="968" spans="34:57" ht="14.15" customHeight="1" x14ac:dyDescent="0.35">
      <c r="AH968" s="114"/>
      <c r="AI968" s="114"/>
      <c r="AJ968" s="130"/>
      <c r="AK968" s="130"/>
      <c r="AL968" s="130"/>
      <c r="AM968" s="130"/>
      <c r="AN968" s="130"/>
      <c r="AO968" s="130"/>
      <c r="AP968" s="130"/>
      <c r="AQ968" s="130"/>
      <c r="AR968" s="130"/>
      <c r="AS968" s="130"/>
      <c r="BC968" s="250"/>
      <c r="BE968" s="119"/>
    </row>
    <row r="969" spans="34:57" ht="14.15" customHeight="1" x14ac:dyDescent="0.35">
      <c r="AH969" s="114"/>
      <c r="AI969" s="114"/>
      <c r="AJ969" s="130"/>
      <c r="AK969" s="130"/>
      <c r="AL969" s="130"/>
      <c r="AM969" s="130"/>
      <c r="AN969" s="130"/>
      <c r="AO969" s="130"/>
      <c r="AP969" s="130"/>
      <c r="AQ969" s="130"/>
      <c r="AR969" s="130"/>
      <c r="AS969" s="130"/>
      <c r="BC969" s="250"/>
      <c r="BE969" s="119"/>
    </row>
    <row r="970" spans="34:57" ht="14.15" customHeight="1" x14ac:dyDescent="0.35">
      <c r="AH970" s="114"/>
      <c r="AI970" s="114"/>
      <c r="AJ970" s="130"/>
      <c r="AK970" s="130"/>
      <c r="AL970" s="130"/>
      <c r="AM970" s="130"/>
      <c r="AN970" s="130"/>
      <c r="AO970" s="130"/>
      <c r="AP970" s="130"/>
      <c r="AQ970" s="130"/>
      <c r="AR970" s="130"/>
      <c r="AS970" s="130"/>
      <c r="BC970" s="250"/>
      <c r="BE970" s="119"/>
    </row>
    <row r="971" spans="34:57" ht="14.15" customHeight="1" x14ac:dyDescent="0.35">
      <c r="AH971" s="114"/>
      <c r="AI971" s="114"/>
      <c r="AJ971" s="130"/>
      <c r="AK971" s="130"/>
      <c r="AL971" s="130"/>
      <c r="AM971" s="130"/>
      <c r="AN971" s="130"/>
      <c r="AO971" s="130"/>
      <c r="AP971" s="130"/>
      <c r="AQ971" s="130"/>
      <c r="AR971" s="130"/>
      <c r="AS971" s="130"/>
      <c r="BC971" s="250"/>
      <c r="BE971" s="119"/>
    </row>
    <row r="972" spans="34:57" ht="14.15" customHeight="1" x14ac:dyDescent="0.35">
      <c r="AH972" s="114"/>
      <c r="AI972" s="114"/>
      <c r="AJ972" s="130"/>
      <c r="AK972" s="130"/>
      <c r="AL972" s="130"/>
      <c r="AM972" s="130"/>
      <c r="AN972" s="130"/>
      <c r="AO972" s="130"/>
      <c r="AP972" s="130"/>
      <c r="AQ972" s="130"/>
      <c r="AR972" s="130"/>
      <c r="AS972" s="130"/>
      <c r="BC972" s="250"/>
      <c r="BE972" s="119"/>
    </row>
    <row r="973" spans="34:57" ht="14.15" customHeight="1" x14ac:dyDescent="0.35">
      <c r="AH973" s="114"/>
      <c r="AI973" s="114"/>
      <c r="AJ973" s="130"/>
      <c r="AK973" s="130"/>
      <c r="AL973" s="130"/>
      <c r="AM973" s="130"/>
      <c r="AN973" s="130"/>
      <c r="AO973" s="130"/>
      <c r="AP973" s="130"/>
      <c r="AQ973" s="130"/>
      <c r="AR973" s="130"/>
      <c r="AS973" s="130"/>
      <c r="BC973" s="250"/>
      <c r="BE973" s="119"/>
    </row>
    <row r="974" spans="34:57" ht="14.15" customHeight="1" x14ac:dyDescent="0.35">
      <c r="AH974" s="114"/>
      <c r="AI974" s="114"/>
      <c r="AJ974" s="130"/>
      <c r="AK974" s="130"/>
      <c r="AL974" s="130"/>
      <c r="AM974" s="130"/>
      <c r="AN974" s="130"/>
      <c r="AO974" s="130"/>
      <c r="AP974" s="130"/>
      <c r="AQ974" s="130"/>
      <c r="AR974" s="130"/>
      <c r="AS974" s="130"/>
      <c r="BC974" s="250"/>
      <c r="BE974" s="119"/>
    </row>
    <row r="975" spans="34:57" ht="14.15" customHeight="1" x14ac:dyDescent="0.35">
      <c r="AH975" s="114"/>
      <c r="AI975" s="114"/>
      <c r="AJ975" s="130"/>
      <c r="AK975" s="130"/>
      <c r="AL975" s="130"/>
      <c r="AM975" s="130"/>
      <c r="AN975" s="130"/>
      <c r="AO975" s="130"/>
      <c r="AP975" s="130"/>
      <c r="AQ975" s="130"/>
      <c r="AR975" s="130"/>
      <c r="AS975" s="130"/>
      <c r="BC975" s="250"/>
      <c r="BE975" s="119"/>
    </row>
    <row r="976" spans="34:57" ht="14.15" customHeight="1" x14ac:dyDescent="0.35">
      <c r="AH976" s="114"/>
      <c r="AI976" s="114"/>
      <c r="AJ976" s="130"/>
      <c r="AK976" s="130"/>
      <c r="AL976" s="130"/>
      <c r="AM976" s="130"/>
      <c r="AN976" s="130"/>
      <c r="AO976" s="130"/>
      <c r="AP976" s="130"/>
      <c r="AQ976" s="130"/>
      <c r="AR976" s="130"/>
      <c r="AS976" s="130"/>
      <c r="BC976" s="250"/>
      <c r="BE976" s="119"/>
    </row>
    <row r="977" spans="34:57" ht="14.15" customHeight="1" x14ac:dyDescent="0.35">
      <c r="AH977" s="114"/>
      <c r="AI977" s="114"/>
      <c r="AJ977" s="130"/>
      <c r="AK977" s="130"/>
      <c r="AL977" s="130"/>
      <c r="AM977" s="130"/>
      <c r="AN977" s="130"/>
      <c r="AO977" s="130"/>
      <c r="AP977" s="130"/>
      <c r="AQ977" s="130"/>
      <c r="AR977" s="130"/>
      <c r="AS977" s="130"/>
      <c r="BC977" s="250"/>
      <c r="BE977" s="119"/>
    </row>
    <row r="978" spans="34:57" ht="14.15" customHeight="1" x14ac:dyDescent="0.35">
      <c r="AH978" s="114"/>
      <c r="AI978" s="114"/>
      <c r="AJ978" s="130"/>
      <c r="AK978" s="130"/>
      <c r="AL978" s="130"/>
      <c r="AM978" s="130"/>
      <c r="AN978" s="130"/>
      <c r="AO978" s="130"/>
      <c r="AP978" s="130"/>
      <c r="AQ978" s="130"/>
      <c r="AR978" s="130"/>
      <c r="AS978" s="130"/>
      <c r="BC978" s="250"/>
      <c r="BE978" s="119"/>
    </row>
    <row r="979" spans="34:57" ht="14.15" customHeight="1" x14ac:dyDescent="0.35">
      <c r="AH979" s="114"/>
      <c r="AI979" s="114"/>
      <c r="AJ979" s="130"/>
      <c r="AK979" s="130"/>
      <c r="AL979" s="130"/>
      <c r="AM979" s="130"/>
      <c r="AN979" s="130"/>
      <c r="AO979" s="130"/>
      <c r="AP979" s="130"/>
      <c r="AQ979" s="130"/>
      <c r="AR979" s="130"/>
      <c r="AS979" s="130"/>
      <c r="BC979" s="250"/>
      <c r="BE979" s="119"/>
    </row>
    <row r="980" spans="34:57" ht="14.15" customHeight="1" x14ac:dyDescent="0.35">
      <c r="AH980" s="114"/>
      <c r="AI980" s="114"/>
      <c r="AJ980" s="130"/>
      <c r="AK980" s="130"/>
      <c r="AL980" s="130"/>
      <c r="AM980" s="130"/>
      <c r="AN980" s="130"/>
      <c r="AO980" s="130"/>
      <c r="AP980" s="130"/>
      <c r="AQ980" s="130"/>
      <c r="AR980" s="130"/>
      <c r="AS980" s="130"/>
      <c r="BC980" s="250"/>
      <c r="BE980" s="119"/>
    </row>
    <row r="981" spans="34:57" ht="14.15" customHeight="1" x14ac:dyDescent="0.35">
      <c r="AH981" s="114"/>
      <c r="AI981" s="114"/>
      <c r="AJ981" s="130"/>
      <c r="AK981" s="130"/>
      <c r="AL981" s="130"/>
      <c r="AM981" s="130"/>
      <c r="AN981" s="130"/>
      <c r="AO981" s="130"/>
      <c r="AP981" s="130"/>
      <c r="AQ981" s="130"/>
      <c r="AR981" s="130"/>
      <c r="AS981" s="130"/>
      <c r="BC981" s="250"/>
      <c r="BE981" s="119"/>
    </row>
    <row r="982" spans="34:57" ht="14.15" customHeight="1" x14ac:dyDescent="0.35">
      <c r="AH982" s="114"/>
      <c r="AI982" s="114"/>
      <c r="AJ982" s="130"/>
      <c r="AK982" s="130"/>
      <c r="AL982" s="130"/>
      <c r="AM982" s="130"/>
      <c r="AN982" s="130"/>
      <c r="AO982" s="130"/>
      <c r="AP982" s="130"/>
      <c r="AQ982" s="130"/>
      <c r="AR982" s="130"/>
      <c r="AS982" s="130"/>
      <c r="BC982" s="250"/>
      <c r="BE982" s="119"/>
    </row>
    <row r="983" spans="34:57" ht="14.15" customHeight="1" x14ac:dyDescent="0.35">
      <c r="AH983" s="114"/>
      <c r="AI983" s="114"/>
      <c r="AJ983" s="130"/>
      <c r="AK983" s="130"/>
      <c r="AL983" s="130"/>
      <c r="AM983" s="130"/>
      <c r="AN983" s="130"/>
      <c r="AO983" s="130"/>
      <c r="AP983" s="130"/>
      <c r="AQ983" s="130"/>
      <c r="AR983" s="130"/>
      <c r="AS983" s="130"/>
      <c r="BC983" s="250"/>
      <c r="BE983" s="119"/>
    </row>
    <row r="984" spans="34:57" ht="14.15" customHeight="1" x14ac:dyDescent="0.35">
      <c r="AH984" s="114"/>
      <c r="AI984" s="114"/>
      <c r="AJ984" s="130"/>
      <c r="AK984" s="130"/>
      <c r="AL984" s="130"/>
      <c r="AM984" s="130"/>
      <c r="AN984" s="130"/>
      <c r="AO984" s="130"/>
      <c r="AP984" s="130"/>
      <c r="AQ984" s="130"/>
      <c r="AR984" s="130"/>
      <c r="AS984" s="130"/>
      <c r="BC984" s="250"/>
      <c r="BE984" s="119"/>
    </row>
    <row r="985" spans="34:57" ht="14.15" customHeight="1" x14ac:dyDescent="0.35">
      <c r="AH985" s="114"/>
      <c r="AI985" s="114"/>
      <c r="AJ985" s="130"/>
      <c r="AK985" s="130"/>
      <c r="AL985" s="130"/>
      <c r="AM985" s="130"/>
      <c r="AN985" s="130"/>
      <c r="AO985" s="130"/>
      <c r="AP985" s="130"/>
      <c r="AQ985" s="130"/>
      <c r="AR985" s="130"/>
      <c r="AS985" s="130"/>
      <c r="BC985" s="250"/>
      <c r="BE985" s="119"/>
    </row>
    <row r="986" spans="34:57" ht="14.15" customHeight="1" x14ac:dyDescent="0.35">
      <c r="AH986" s="114"/>
      <c r="AI986" s="114"/>
      <c r="AJ986" s="130"/>
      <c r="AK986" s="130"/>
      <c r="AL986" s="130"/>
      <c r="AM986" s="130"/>
      <c r="AN986" s="130"/>
      <c r="AO986" s="130"/>
      <c r="AP986" s="130"/>
      <c r="AQ986" s="130"/>
      <c r="AR986" s="130"/>
      <c r="AS986" s="130"/>
      <c r="BC986" s="250"/>
      <c r="BE986" s="119"/>
    </row>
    <row r="987" spans="34:57" ht="14.15" customHeight="1" x14ac:dyDescent="0.35">
      <c r="AH987" s="114"/>
      <c r="AI987" s="114"/>
      <c r="AJ987" s="130"/>
      <c r="AK987" s="130"/>
      <c r="AL987" s="130"/>
      <c r="AM987" s="130"/>
      <c r="AN987" s="130"/>
      <c r="AO987" s="130"/>
      <c r="AP987" s="130"/>
      <c r="AQ987" s="130"/>
      <c r="AR987" s="130"/>
      <c r="AS987" s="130"/>
      <c r="BC987" s="250"/>
      <c r="BE987" s="119"/>
    </row>
    <row r="988" spans="34:57" ht="14.15" customHeight="1" x14ac:dyDescent="0.35">
      <c r="AH988" s="114"/>
      <c r="AI988" s="114"/>
      <c r="AJ988" s="130"/>
      <c r="AK988" s="130"/>
      <c r="AL988" s="130"/>
      <c r="AM988" s="130"/>
      <c r="AN988" s="130"/>
      <c r="AO988" s="130"/>
      <c r="AP988" s="130"/>
      <c r="AQ988" s="130"/>
      <c r="AR988" s="130"/>
      <c r="AS988" s="130"/>
      <c r="BC988" s="250"/>
      <c r="BE988" s="119"/>
    </row>
    <row r="989" spans="34:57" ht="14.15" customHeight="1" x14ac:dyDescent="0.35">
      <c r="AH989" s="114"/>
      <c r="AI989" s="114"/>
      <c r="AJ989" s="130"/>
      <c r="AK989" s="130"/>
      <c r="AL989" s="130"/>
      <c r="AM989" s="130"/>
      <c r="AN989" s="130"/>
      <c r="AO989" s="130"/>
      <c r="AP989" s="130"/>
      <c r="AQ989" s="130"/>
      <c r="AR989" s="130"/>
      <c r="AS989" s="130"/>
      <c r="BC989" s="250"/>
      <c r="BE989" s="119"/>
    </row>
    <row r="990" spans="34:57" ht="14.15" customHeight="1" x14ac:dyDescent="0.35"/>
    <row r="991" spans="34:57" ht="14.15" customHeight="1" x14ac:dyDescent="0.35"/>
    <row r="992" spans="34:57" ht="14.15" customHeight="1" x14ac:dyDescent="0.35"/>
    <row r="993" ht="14.15" customHeight="1" x14ac:dyDescent="0.35"/>
    <row r="994" ht="14.15" customHeight="1" x14ac:dyDescent="0.35"/>
    <row r="995" ht="14.15" customHeight="1" x14ac:dyDescent="0.35"/>
    <row r="996" ht="14.15" customHeight="1" x14ac:dyDescent="0.35"/>
    <row r="997" ht="14.15" customHeight="1" x14ac:dyDescent="0.35"/>
    <row r="998" ht="14.15" customHeight="1" x14ac:dyDescent="0.35"/>
    <row r="999" ht="14.15" customHeight="1" x14ac:dyDescent="0.35"/>
    <row r="1000" ht="14.15" customHeight="1" x14ac:dyDescent="0.35"/>
    <row r="1001" ht="14.15" customHeight="1" x14ac:dyDescent="0.35"/>
    <row r="1002" ht="14.15" customHeight="1" x14ac:dyDescent="0.35"/>
    <row r="1003" ht="14.15" customHeight="1" x14ac:dyDescent="0.35"/>
    <row r="1004" ht="14.15" customHeight="1" x14ac:dyDescent="0.35"/>
    <row r="1005" ht="14.15" customHeight="1" x14ac:dyDescent="0.35"/>
    <row r="1006" ht="14.15" customHeight="1" x14ac:dyDescent="0.35"/>
    <row r="1007" ht="14.15" customHeight="1" x14ac:dyDescent="0.35"/>
    <row r="1008" ht="14.15" customHeight="1" x14ac:dyDescent="0.35"/>
    <row r="1009" ht="14.15" customHeight="1" x14ac:dyDescent="0.35"/>
    <row r="1010" ht="14.15" customHeight="1" x14ac:dyDescent="0.35"/>
    <row r="1011" ht="14.15" customHeight="1" x14ac:dyDescent="0.35"/>
    <row r="1012" ht="14.15" customHeight="1" x14ac:dyDescent="0.35"/>
    <row r="1013" ht="14.15" customHeight="1" x14ac:dyDescent="0.35"/>
    <row r="1014" ht="14.15" customHeight="1" x14ac:dyDescent="0.35"/>
    <row r="1015" ht="14.15" customHeight="1" x14ac:dyDescent="0.35"/>
    <row r="1016" ht="14.15" customHeight="1" x14ac:dyDescent="0.35"/>
    <row r="1017" ht="14.15" customHeight="1" x14ac:dyDescent="0.35"/>
    <row r="1018" ht="14.15" customHeight="1" x14ac:dyDescent="0.35"/>
    <row r="1019" ht="14.15" customHeight="1" x14ac:dyDescent="0.35"/>
    <row r="1020" ht="14.15" customHeight="1" x14ac:dyDescent="0.35"/>
    <row r="1021" ht="14.15" customHeight="1" x14ac:dyDescent="0.35"/>
    <row r="1022" ht="14.15" customHeight="1" x14ac:dyDescent="0.35"/>
    <row r="1023" ht="14.15" customHeight="1" x14ac:dyDescent="0.35"/>
    <row r="1024" ht="14.15" customHeight="1" x14ac:dyDescent="0.35"/>
    <row r="1025" ht="14.15" customHeight="1" x14ac:dyDescent="0.35"/>
    <row r="1026" ht="14.15" customHeight="1" x14ac:dyDescent="0.35"/>
    <row r="1027" ht="14.15" customHeight="1" x14ac:dyDescent="0.35"/>
    <row r="1028" ht="14.15" customHeight="1" x14ac:dyDescent="0.35"/>
    <row r="1029" ht="14.15" customHeight="1" x14ac:dyDescent="0.35"/>
    <row r="1030" ht="14.15" customHeight="1" x14ac:dyDescent="0.35"/>
    <row r="1031" ht="14.15" customHeight="1" x14ac:dyDescent="0.35"/>
    <row r="1032" ht="14.15" customHeight="1" x14ac:dyDescent="0.35"/>
    <row r="1033" ht="14.15" customHeight="1" x14ac:dyDescent="0.35"/>
    <row r="1034" ht="14.15" customHeight="1" x14ac:dyDescent="0.35"/>
    <row r="1035" ht="14.15" customHeight="1" x14ac:dyDescent="0.35"/>
    <row r="1036" ht="14.15" customHeight="1" x14ac:dyDescent="0.35"/>
    <row r="1037" ht="14.15" customHeight="1" x14ac:dyDescent="0.35"/>
    <row r="1038" ht="14.15" customHeight="1" x14ac:dyDescent="0.35"/>
    <row r="1039" ht="14.15" customHeight="1" x14ac:dyDescent="0.35"/>
    <row r="1040" ht="14.15" customHeight="1" x14ac:dyDescent="0.35"/>
    <row r="1041" ht="14.15" customHeight="1" x14ac:dyDescent="0.35"/>
    <row r="1042" ht="14.15" customHeight="1" x14ac:dyDescent="0.35"/>
    <row r="1043" ht="14.15" customHeight="1" x14ac:dyDescent="0.35"/>
    <row r="1044" ht="14.15" customHeight="1" x14ac:dyDescent="0.35"/>
    <row r="1045" ht="14.15" customHeight="1" x14ac:dyDescent="0.35"/>
    <row r="1046" ht="14.15" customHeight="1" x14ac:dyDescent="0.35"/>
    <row r="1047" ht="14.15" customHeight="1" x14ac:dyDescent="0.35"/>
    <row r="1048" ht="14.15" customHeight="1" x14ac:dyDescent="0.35"/>
    <row r="1049" ht="14.15" customHeight="1" x14ac:dyDescent="0.35"/>
    <row r="1050" ht="14.15" customHeight="1" x14ac:dyDescent="0.35"/>
    <row r="1051" ht="14.15" customHeight="1" x14ac:dyDescent="0.35"/>
    <row r="1052" ht="14.15" customHeight="1" x14ac:dyDescent="0.35"/>
    <row r="1053" ht="14.15" customHeight="1" x14ac:dyDescent="0.35"/>
    <row r="1054" ht="14.15" customHeight="1" x14ac:dyDescent="0.35"/>
    <row r="1055" ht="14.15" customHeight="1" x14ac:dyDescent="0.35"/>
    <row r="1056" ht="14.15" customHeight="1" x14ac:dyDescent="0.35"/>
    <row r="1057" ht="14.15" customHeight="1" x14ac:dyDescent="0.35"/>
    <row r="1058" ht="14.15" customHeight="1" x14ac:dyDescent="0.35"/>
    <row r="1059" ht="14.15" customHeight="1" x14ac:dyDescent="0.35"/>
    <row r="1060" ht="14.15" customHeight="1" x14ac:dyDescent="0.35"/>
    <row r="1061" ht="14.15" customHeight="1" x14ac:dyDescent="0.35"/>
    <row r="1062" ht="14.15" customHeight="1" x14ac:dyDescent="0.35"/>
    <row r="1063" ht="14.15" customHeight="1" x14ac:dyDescent="0.35"/>
    <row r="1064" ht="14.15" customHeight="1" x14ac:dyDescent="0.35"/>
    <row r="1065" ht="14.15" customHeight="1" x14ac:dyDescent="0.35"/>
    <row r="1066" ht="14.15" customHeight="1" x14ac:dyDescent="0.35"/>
    <row r="1067" ht="14.15" customHeight="1" x14ac:dyDescent="0.35"/>
    <row r="1068" ht="14.15" customHeight="1" x14ac:dyDescent="0.35"/>
    <row r="1069" ht="14.15" customHeight="1" x14ac:dyDescent="0.35"/>
    <row r="1070" ht="14.15" customHeight="1" x14ac:dyDescent="0.35"/>
    <row r="1071" ht="14.15" customHeight="1" x14ac:dyDescent="0.35"/>
    <row r="1072" ht="14.15" customHeight="1" x14ac:dyDescent="0.35"/>
    <row r="1073" ht="14.15" customHeight="1" x14ac:dyDescent="0.35"/>
    <row r="1074" ht="14.15" customHeight="1" x14ac:dyDescent="0.35"/>
    <row r="1075" ht="14.15" customHeight="1" x14ac:dyDescent="0.35"/>
    <row r="1076" ht="14.15" customHeight="1" x14ac:dyDescent="0.35"/>
    <row r="1077" ht="14.15" customHeight="1" x14ac:dyDescent="0.35"/>
    <row r="1078" ht="14.15" customHeight="1" x14ac:dyDescent="0.35"/>
    <row r="1079" ht="14.15" customHeight="1" x14ac:dyDescent="0.35"/>
    <row r="1080" ht="14.15" customHeight="1" x14ac:dyDescent="0.35"/>
    <row r="1081" ht="14.15" customHeight="1" x14ac:dyDescent="0.35"/>
    <row r="1082" ht="14.15" customHeight="1" x14ac:dyDescent="0.35"/>
    <row r="1083" ht="14.15" customHeight="1" x14ac:dyDescent="0.35"/>
    <row r="1084" ht="14.15" customHeight="1" x14ac:dyDescent="0.35"/>
    <row r="1085" ht="14.15" customHeight="1" x14ac:dyDescent="0.35"/>
    <row r="1086" ht="14.15" customHeight="1" x14ac:dyDescent="0.35"/>
    <row r="1087" ht="14.15" customHeight="1" x14ac:dyDescent="0.35"/>
    <row r="1088" ht="14.15" customHeight="1" x14ac:dyDescent="0.35"/>
    <row r="1089" ht="14.15" customHeight="1" x14ac:dyDescent="0.35"/>
    <row r="1090" ht="14.15" customHeight="1" x14ac:dyDescent="0.35"/>
    <row r="1091" ht="14.15" customHeight="1" x14ac:dyDescent="0.35"/>
    <row r="1092" ht="14.15" customHeight="1" x14ac:dyDescent="0.35"/>
    <row r="1093" ht="14.15" customHeight="1" x14ac:dyDescent="0.35"/>
    <row r="1094" ht="14.15" customHeight="1" x14ac:dyDescent="0.35"/>
    <row r="1095" ht="14.15" customHeight="1" x14ac:dyDescent="0.35"/>
    <row r="1096" ht="14.15" customHeight="1" x14ac:dyDescent="0.35"/>
    <row r="1097" ht="14.15" customHeight="1" x14ac:dyDescent="0.35"/>
    <row r="1098" ht="14.15" customHeight="1" x14ac:dyDescent="0.35"/>
    <row r="1099" ht="14.15" customHeight="1" x14ac:dyDescent="0.35"/>
    <row r="1100" ht="14.15" customHeight="1" x14ac:dyDescent="0.35"/>
    <row r="1101" ht="14.15" customHeight="1" x14ac:dyDescent="0.35"/>
    <row r="1102" ht="14.15" customHeight="1" x14ac:dyDescent="0.35"/>
    <row r="1103" ht="14.15" customHeight="1" x14ac:dyDescent="0.35"/>
    <row r="1104" ht="14.15" customHeight="1" x14ac:dyDescent="0.35"/>
    <row r="1105" ht="14.15" customHeight="1" x14ac:dyDescent="0.35"/>
    <row r="1106" ht="14.15" customHeight="1" x14ac:dyDescent="0.35"/>
    <row r="1107" ht="14.15" customHeight="1" x14ac:dyDescent="0.35"/>
    <row r="1108" ht="14.15" customHeight="1" x14ac:dyDescent="0.35"/>
    <row r="1109" ht="14.15" customHeight="1" x14ac:dyDescent="0.35"/>
    <row r="1110" ht="14.15" customHeight="1" x14ac:dyDescent="0.35"/>
    <row r="1111" ht="14.15" customHeight="1" x14ac:dyDescent="0.35"/>
    <row r="1112" ht="14.15" customHeight="1" x14ac:dyDescent="0.35"/>
    <row r="1113" ht="14.15" customHeight="1" x14ac:dyDescent="0.35"/>
    <row r="1114" ht="14.15" customHeight="1" x14ac:dyDescent="0.35"/>
    <row r="1115" ht="14.15" customHeight="1" x14ac:dyDescent="0.35"/>
    <row r="1116" ht="14.15" customHeight="1" x14ac:dyDescent="0.35"/>
    <row r="1117" ht="14.15" customHeight="1" x14ac:dyDescent="0.35"/>
    <row r="1118" ht="14.15" customHeight="1" x14ac:dyDescent="0.35"/>
    <row r="1119" ht="14.15" customHeight="1" x14ac:dyDescent="0.35"/>
    <row r="1120" ht="14.15" customHeight="1" x14ac:dyDescent="0.35"/>
    <row r="1121" ht="14.15" customHeight="1" x14ac:dyDescent="0.35"/>
    <row r="1122" ht="14.15" customHeight="1" x14ac:dyDescent="0.35"/>
    <row r="1123" ht="14.15" customHeight="1" x14ac:dyDescent="0.35"/>
    <row r="1124" ht="14.15" customHeight="1" x14ac:dyDescent="0.35"/>
    <row r="1125" ht="14.15" customHeight="1" x14ac:dyDescent="0.35"/>
    <row r="1126" ht="14.15" customHeight="1" x14ac:dyDescent="0.35"/>
    <row r="1127" ht="14.15" customHeight="1" x14ac:dyDescent="0.35"/>
    <row r="1128" ht="14.15" customHeight="1" x14ac:dyDescent="0.35"/>
    <row r="1129" ht="14.15" customHeight="1" x14ac:dyDescent="0.35"/>
    <row r="1130" ht="14.15" customHeight="1" x14ac:dyDescent="0.35"/>
    <row r="1131" ht="14.15" customHeight="1" x14ac:dyDescent="0.35"/>
    <row r="1132" ht="14.15" customHeight="1" x14ac:dyDescent="0.35"/>
    <row r="1133" ht="14.15" customHeight="1" x14ac:dyDescent="0.35"/>
    <row r="1134" ht="14.15" customHeight="1" x14ac:dyDescent="0.35"/>
    <row r="1135" ht="14.15" customHeight="1" x14ac:dyDescent="0.35"/>
    <row r="1136" ht="14.15" customHeight="1" x14ac:dyDescent="0.35"/>
    <row r="1137" ht="14.15" customHeight="1" x14ac:dyDescent="0.35"/>
    <row r="1138" ht="14.15" customHeight="1" x14ac:dyDescent="0.35"/>
    <row r="1139" ht="14.15" customHeight="1" x14ac:dyDescent="0.35"/>
    <row r="1140" ht="14.15" customHeight="1" x14ac:dyDescent="0.35"/>
    <row r="1141" ht="14.15" customHeight="1" x14ac:dyDescent="0.35"/>
    <row r="1142" ht="14.15" customHeight="1" x14ac:dyDescent="0.35"/>
    <row r="1143" ht="14.15" customHeight="1" x14ac:dyDescent="0.35"/>
    <row r="1144" ht="14.15" customHeight="1" x14ac:dyDescent="0.35"/>
    <row r="1145" ht="14.15" customHeight="1" x14ac:dyDescent="0.35"/>
    <row r="1146" ht="14.15" customHeight="1" x14ac:dyDescent="0.35"/>
    <row r="1147" ht="14.15" customHeight="1" x14ac:dyDescent="0.35"/>
    <row r="1148" ht="14.15" customHeight="1" x14ac:dyDescent="0.35"/>
    <row r="1149" ht="14.15" customHeight="1" x14ac:dyDescent="0.35"/>
    <row r="1150" ht="14.15" customHeight="1" x14ac:dyDescent="0.35"/>
    <row r="1151" ht="14.15" customHeight="1" x14ac:dyDescent="0.35"/>
    <row r="1152" ht="14.15" customHeight="1" x14ac:dyDescent="0.35"/>
    <row r="1153" ht="14.15" customHeight="1" x14ac:dyDescent="0.35"/>
    <row r="1154" ht="14.15" customHeight="1" x14ac:dyDescent="0.35"/>
    <row r="1155" ht="14.15" customHeight="1" x14ac:dyDescent="0.35"/>
    <row r="1156" ht="14.15" customHeight="1" x14ac:dyDescent="0.35"/>
    <row r="1157" ht="14.15" customHeight="1" x14ac:dyDescent="0.35"/>
    <row r="1158" ht="14.15" customHeight="1" x14ac:dyDescent="0.35"/>
    <row r="1159" ht="14.15" customHeight="1" x14ac:dyDescent="0.35"/>
    <row r="1160" ht="14.15" customHeight="1" x14ac:dyDescent="0.35"/>
    <row r="1161" ht="14.15" customHeight="1" x14ac:dyDescent="0.35"/>
    <row r="1162" ht="14.15" customHeight="1" x14ac:dyDescent="0.35"/>
    <row r="1163" ht="14.15" customHeight="1" x14ac:dyDescent="0.35"/>
    <row r="1164" ht="14.15" customHeight="1" x14ac:dyDescent="0.35"/>
    <row r="1165" ht="14.15" customHeight="1" x14ac:dyDescent="0.35"/>
    <row r="1166" ht="14.15" customHeight="1" x14ac:dyDescent="0.35"/>
    <row r="1167" ht="14.15" customHeight="1" x14ac:dyDescent="0.35"/>
    <row r="1168" ht="14.15" customHeight="1" x14ac:dyDescent="0.35"/>
    <row r="1169" ht="14.15" customHeight="1" x14ac:dyDescent="0.35"/>
    <row r="1170" ht="14.15" customHeight="1" x14ac:dyDescent="0.35"/>
    <row r="1171" ht="14.15" customHeight="1" x14ac:dyDescent="0.35"/>
    <row r="1172" ht="14.15" customHeight="1" x14ac:dyDescent="0.35"/>
    <row r="1173" ht="14.15" customHeight="1" x14ac:dyDescent="0.35"/>
    <row r="1174" ht="14.15" customHeight="1" x14ac:dyDescent="0.35"/>
    <row r="1175" ht="14.15" customHeight="1" x14ac:dyDescent="0.35"/>
    <row r="1176" ht="14.15" customHeight="1" x14ac:dyDescent="0.35"/>
    <row r="1177" ht="14.15" customHeight="1" x14ac:dyDescent="0.35"/>
    <row r="1178" ht="14.15" customHeight="1" x14ac:dyDescent="0.35"/>
  </sheetData>
  <mergeCells count="482">
    <mergeCell ref="BB74:BB75"/>
    <mergeCell ref="W74:W75"/>
    <mergeCell ref="AK20:AK23"/>
    <mergeCell ref="AL20:AL23"/>
    <mergeCell ref="AM20:AM23"/>
    <mergeCell ref="BB3:BB17"/>
    <mergeCell ref="BB18:BB23"/>
    <mergeCell ref="BB24:BB36"/>
    <mergeCell ref="BB37:BB45"/>
    <mergeCell ref="BB46:BB61"/>
    <mergeCell ref="BB62:BB72"/>
    <mergeCell ref="W24:W36"/>
    <mergeCell ref="X24:X27"/>
    <mergeCell ref="BA74:BA75"/>
    <mergeCell ref="BA3:BA17"/>
    <mergeCell ref="BA18:BA23"/>
    <mergeCell ref="BA24:BA36"/>
    <mergeCell ref="BA37:BA45"/>
    <mergeCell ref="BA46:BA61"/>
    <mergeCell ref="BA62:BA72"/>
    <mergeCell ref="AY30:AY36"/>
    <mergeCell ref="AY68:AY72"/>
    <mergeCell ref="AC68:AC72"/>
    <mergeCell ref="AV62:AV72"/>
    <mergeCell ref="AY62:AY67"/>
    <mergeCell ref="V28:V29"/>
    <mergeCell ref="X28:X29"/>
    <mergeCell ref="U30:U34"/>
    <mergeCell ref="V30:V34"/>
    <mergeCell ref="X30:X34"/>
    <mergeCell ref="U35:U36"/>
    <mergeCell ref="V35:V36"/>
    <mergeCell ref="X35:X36"/>
    <mergeCell ref="AB35:AB36"/>
    <mergeCell ref="AB30:AB34"/>
    <mergeCell ref="AB59:AB61"/>
    <mergeCell ref="AB52:AB58"/>
    <mergeCell ref="AB46:AB51"/>
    <mergeCell ref="Z46:Z51"/>
    <mergeCell ref="Z52:Z58"/>
    <mergeCell ref="AA46:AA61"/>
    <mergeCell ref="Y62:Y63"/>
    <mergeCell ref="Y64:Y67"/>
    <mergeCell ref="Z62:Z63"/>
    <mergeCell ref="Z64:Z67"/>
    <mergeCell ref="AA62:AA72"/>
    <mergeCell ref="AB70:AB72"/>
    <mergeCell ref="AB68:AB69"/>
    <mergeCell ref="V70:V72"/>
    <mergeCell ref="X70:X72"/>
    <mergeCell ref="U3:U12"/>
    <mergeCell ref="V3:V12"/>
    <mergeCell ref="W3:W17"/>
    <mergeCell ref="X3:X12"/>
    <mergeCell ref="U13:U14"/>
    <mergeCell ref="V13:V14"/>
    <mergeCell ref="X13:X14"/>
    <mergeCell ref="U15:U17"/>
    <mergeCell ref="V15:V17"/>
    <mergeCell ref="X15:X17"/>
    <mergeCell ref="E24:E36"/>
    <mergeCell ref="F18:F23"/>
    <mergeCell ref="BF37:BF40"/>
    <mergeCell ref="BF41:BF45"/>
    <mergeCell ref="BF52:BF58"/>
    <mergeCell ref="BF59:BF61"/>
    <mergeCell ref="BF64:BF67"/>
    <mergeCell ref="BF3:BF12"/>
    <mergeCell ref="BF13:BF14"/>
    <mergeCell ref="BF15:BF17"/>
    <mergeCell ref="BF18:BF19"/>
    <mergeCell ref="BF20:BF23"/>
    <mergeCell ref="BF24:BF27"/>
    <mergeCell ref="BF28:BF29"/>
    <mergeCell ref="BF30:BF34"/>
    <mergeCell ref="BF35:BF36"/>
    <mergeCell ref="I18:I19"/>
    <mergeCell ref="J18:J19"/>
    <mergeCell ref="AW18:AW19"/>
    <mergeCell ref="AX18:AX19"/>
    <mergeCell ref="AY18:AY23"/>
    <mergeCell ref="AZ18:AZ19"/>
    <mergeCell ref="H20:H23"/>
    <mergeCell ref="I20:I23"/>
    <mergeCell ref="BC74:BC75"/>
    <mergeCell ref="BD74:BD75"/>
    <mergeCell ref="BD3:BD17"/>
    <mergeCell ref="BD62:BD72"/>
    <mergeCell ref="BD46:BD61"/>
    <mergeCell ref="BD37:BD45"/>
    <mergeCell ref="BD24:BD36"/>
    <mergeCell ref="BD18:BD23"/>
    <mergeCell ref="BC24:BC36"/>
    <mergeCell ref="BC37:BC45"/>
    <mergeCell ref="BC46:BC61"/>
    <mergeCell ref="BC62:BC72"/>
    <mergeCell ref="A1:BE1"/>
    <mergeCell ref="L3:L12"/>
    <mergeCell ref="AC3:AC17"/>
    <mergeCell ref="AD3:AD17"/>
    <mergeCell ref="AE3:AE17"/>
    <mergeCell ref="AV3:AV17"/>
    <mergeCell ref="AY3:AY17"/>
    <mergeCell ref="BE20:BE23"/>
    <mergeCell ref="BC3:BC17"/>
    <mergeCell ref="BC18:BC23"/>
    <mergeCell ref="M3:M12"/>
    <mergeCell ref="M13:M14"/>
    <mergeCell ref="M15:M17"/>
    <mergeCell ref="M20:M23"/>
    <mergeCell ref="N3:N12"/>
    <mergeCell ref="N13:N14"/>
    <mergeCell ref="N15:N17"/>
    <mergeCell ref="L13:L14"/>
    <mergeCell ref="L15:L17"/>
    <mergeCell ref="C18:C23"/>
    <mergeCell ref="D18:D23"/>
    <mergeCell ref="E18:E23"/>
    <mergeCell ref="G18:G23"/>
    <mergeCell ref="H18:H19"/>
    <mergeCell ref="J20:J23"/>
    <mergeCell ref="K20:K23"/>
    <mergeCell ref="K18:K19"/>
    <mergeCell ref="L18:L19"/>
    <mergeCell ref="AC18:AC23"/>
    <mergeCell ref="AD18:AD23"/>
    <mergeCell ref="AE18:AE23"/>
    <mergeCell ref="AV18:AV23"/>
    <mergeCell ref="L20:L23"/>
    <mergeCell ref="AF20:AF23"/>
    <mergeCell ref="AG20:AG23"/>
    <mergeCell ref="AT20:AT23"/>
    <mergeCell ref="N18:N19"/>
    <mergeCell ref="V18:V19"/>
    <mergeCell ref="W18:W23"/>
    <mergeCell ref="X18:X19"/>
    <mergeCell ref="U20:U23"/>
    <mergeCell ref="V20:V23"/>
    <mergeCell ref="X20:X23"/>
    <mergeCell ref="AB20:AB23"/>
    <mergeCell ref="Z20:Z23"/>
    <mergeCell ref="L35:L36"/>
    <mergeCell ref="AW20:AW23"/>
    <mergeCell ref="AX20:AX23"/>
    <mergeCell ref="AZ20:AZ23"/>
    <mergeCell ref="L24:L27"/>
    <mergeCell ref="AC24:AC29"/>
    <mergeCell ref="AD24:AD29"/>
    <mergeCell ref="AE24:AE29"/>
    <mergeCell ref="AV24:AV36"/>
    <mergeCell ref="AY24:AY29"/>
    <mergeCell ref="L28:L29"/>
    <mergeCell ref="M24:M27"/>
    <mergeCell ref="M28:M29"/>
    <mergeCell ref="M30:M34"/>
    <mergeCell ref="M35:M36"/>
    <mergeCell ref="N24:N27"/>
    <mergeCell ref="N28:N29"/>
    <mergeCell ref="N30:N34"/>
    <mergeCell ref="N35:N36"/>
    <mergeCell ref="AP20:AP23"/>
    <mergeCell ref="N20:N23"/>
    <mergeCell ref="U24:U27"/>
    <mergeCell ref="V24:V27"/>
    <mergeCell ref="U28:U29"/>
    <mergeCell ref="C37:C45"/>
    <mergeCell ref="D37:D45"/>
    <mergeCell ref="E37:E45"/>
    <mergeCell ref="G37:G45"/>
    <mergeCell ref="H37:H40"/>
    <mergeCell ref="I37:I40"/>
    <mergeCell ref="L30:L34"/>
    <mergeCell ref="AC30:AC36"/>
    <mergeCell ref="AD30:AD36"/>
    <mergeCell ref="M37:M40"/>
    <mergeCell ref="M41:M45"/>
    <mergeCell ref="N37:N40"/>
    <mergeCell ref="N41:N45"/>
    <mergeCell ref="P37:P40"/>
    <mergeCell ref="P41:P45"/>
    <mergeCell ref="H41:H45"/>
    <mergeCell ref="I41:I45"/>
    <mergeCell ref="J41:J45"/>
    <mergeCell ref="K41:K45"/>
    <mergeCell ref="L41:L45"/>
    <mergeCell ref="AC41:AC45"/>
    <mergeCell ref="AD41:AD45"/>
    <mergeCell ref="Q41:Q45"/>
    <mergeCell ref="Q37:Q40"/>
    <mergeCell ref="H46:H51"/>
    <mergeCell ref="I46:I51"/>
    <mergeCell ref="J46:J51"/>
    <mergeCell ref="K46:K51"/>
    <mergeCell ref="L46:L51"/>
    <mergeCell ref="AC46:AC58"/>
    <mergeCell ref="AD46:AD58"/>
    <mergeCell ref="AE46:AE58"/>
    <mergeCell ref="M46:M51"/>
    <mergeCell ref="M52:M58"/>
    <mergeCell ref="N46:N51"/>
    <mergeCell ref="N52:N58"/>
    <mergeCell ref="H52:H58"/>
    <mergeCell ref="I52:I58"/>
    <mergeCell ref="J52:J58"/>
    <mergeCell ref="K52:K58"/>
    <mergeCell ref="L52:L58"/>
    <mergeCell ref="T52:T58"/>
    <mergeCell ref="U46:U51"/>
    <mergeCell ref="V46:V51"/>
    <mergeCell ref="W46:W61"/>
    <mergeCell ref="X46:X51"/>
    <mergeCell ref="U52:U58"/>
    <mergeCell ref="V52:V58"/>
    <mergeCell ref="J37:J40"/>
    <mergeCell ref="K37:K40"/>
    <mergeCell ref="L37:L40"/>
    <mergeCell ref="AC37:AC40"/>
    <mergeCell ref="AD37:AD40"/>
    <mergeCell ref="AE37:AE40"/>
    <mergeCell ref="K64:K67"/>
    <mergeCell ref="L64:L67"/>
    <mergeCell ref="N59:N61"/>
    <mergeCell ref="R37:R40"/>
    <mergeCell ref="R41:R45"/>
    <mergeCell ref="R46:R51"/>
    <mergeCell ref="T41:T45"/>
    <mergeCell ref="T59:T61"/>
    <mergeCell ref="T46:T51"/>
    <mergeCell ref="T37:T40"/>
    <mergeCell ref="U37:U40"/>
    <mergeCell ref="V37:V40"/>
    <mergeCell ref="W37:W45"/>
    <mergeCell ref="X37:X40"/>
    <mergeCell ref="U41:U45"/>
    <mergeCell ref="V41:V45"/>
    <mergeCell ref="X41:X45"/>
    <mergeCell ref="X52:X58"/>
    <mergeCell ref="N70:N72"/>
    <mergeCell ref="K59:K61"/>
    <mergeCell ref="L59:L61"/>
    <mergeCell ref="AE41:AE45"/>
    <mergeCell ref="AE68:AE72"/>
    <mergeCell ref="U59:U61"/>
    <mergeCell ref="V59:V61"/>
    <mergeCell ref="X59:X61"/>
    <mergeCell ref="U62:U63"/>
    <mergeCell ref="V62:V63"/>
    <mergeCell ref="W62:W72"/>
    <mergeCell ref="X62:X63"/>
    <mergeCell ref="U64:U67"/>
    <mergeCell ref="V64:V67"/>
    <mergeCell ref="X64:X67"/>
    <mergeCell ref="U68:U69"/>
    <mergeCell ref="V68:V69"/>
    <mergeCell ref="X68:X69"/>
    <mergeCell ref="U70:U72"/>
    <mergeCell ref="AD68:AD72"/>
    <mergeCell ref="Y46:Y51"/>
    <mergeCell ref="Y52:Y58"/>
    <mergeCell ref="Y59:Y61"/>
    <mergeCell ref="Z59:Z61"/>
    <mergeCell ref="H59:H61"/>
    <mergeCell ref="I59:I61"/>
    <mergeCell ref="J59:J61"/>
    <mergeCell ref="M59:M61"/>
    <mergeCell ref="B74:B75"/>
    <mergeCell ref="C74:C75"/>
    <mergeCell ref="D74:D75"/>
    <mergeCell ref="E74:E75"/>
    <mergeCell ref="G74:G75"/>
    <mergeCell ref="C46:C61"/>
    <mergeCell ref="D46:D61"/>
    <mergeCell ref="E46:E61"/>
    <mergeCell ref="F46:F61"/>
    <mergeCell ref="G46:G61"/>
    <mergeCell ref="C62:C72"/>
    <mergeCell ref="D62:D72"/>
    <mergeCell ref="E62:E72"/>
    <mergeCell ref="F62:F72"/>
    <mergeCell ref="G62:G72"/>
    <mergeCell ref="H68:H69"/>
    <mergeCell ref="H62:H63"/>
    <mergeCell ref="I62:I63"/>
    <mergeCell ref="J62:J63"/>
    <mergeCell ref="K62:K63"/>
    <mergeCell ref="H64:H67"/>
    <mergeCell ref="I64:I67"/>
    <mergeCell ref="J64:J67"/>
    <mergeCell ref="T62:T63"/>
    <mergeCell ref="T64:T67"/>
    <mergeCell ref="T68:T69"/>
    <mergeCell ref="T70:T72"/>
    <mergeCell ref="L62:L63"/>
    <mergeCell ref="M62:M63"/>
    <mergeCell ref="M64:M67"/>
    <mergeCell ref="H70:H72"/>
    <mergeCell ref="I70:I72"/>
    <mergeCell ref="J70:J72"/>
    <mergeCell ref="K70:K72"/>
    <mergeCell ref="L70:L72"/>
    <mergeCell ref="I68:I69"/>
    <mergeCell ref="J68:J69"/>
    <mergeCell ref="K68:K69"/>
    <mergeCell ref="L68:L69"/>
    <mergeCell ref="M68:M69"/>
    <mergeCell ref="M70:M72"/>
    <mergeCell ref="N62:N63"/>
    <mergeCell ref="N64:N67"/>
    <mergeCell ref="N68:N69"/>
    <mergeCell ref="O3:O17"/>
    <mergeCell ref="O18:O23"/>
    <mergeCell ref="O24:O36"/>
    <mergeCell ref="O37:O45"/>
    <mergeCell ref="O46:O61"/>
    <mergeCell ref="O62:O72"/>
    <mergeCell ref="O74:O75"/>
    <mergeCell ref="AC74:AC75"/>
    <mergeCell ref="AD74:AD75"/>
    <mergeCell ref="AD62:AD67"/>
    <mergeCell ref="P46:P51"/>
    <mergeCell ref="P52:P58"/>
    <mergeCell ref="P59:P61"/>
    <mergeCell ref="P62:P63"/>
    <mergeCell ref="P64:P67"/>
    <mergeCell ref="P68:P69"/>
    <mergeCell ref="P70:P72"/>
    <mergeCell ref="Q13:Q14"/>
    <mergeCell ref="Q15:Q17"/>
    <mergeCell ref="Q3:Q12"/>
    <mergeCell ref="R3:R12"/>
    <mergeCell ref="T3:T12"/>
    <mergeCell ref="R13:R14"/>
    <mergeCell ref="AC59:AC61"/>
    <mergeCell ref="BA79:BC79"/>
    <mergeCell ref="P3:P12"/>
    <mergeCell ref="P13:P14"/>
    <mergeCell ref="P15:P17"/>
    <mergeCell ref="P18:P19"/>
    <mergeCell ref="P20:P23"/>
    <mergeCell ref="P24:P27"/>
    <mergeCell ref="P28:P29"/>
    <mergeCell ref="P30:P34"/>
    <mergeCell ref="P35:P36"/>
    <mergeCell ref="AE74:AE75"/>
    <mergeCell ref="AV74:AV75"/>
    <mergeCell ref="AY74:AY75"/>
    <mergeCell ref="AZ74:AZ75"/>
    <mergeCell ref="AE62:AE67"/>
    <mergeCell ref="AE59:AE61"/>
    <mergeCell ref="AY59:AY61"/>
    <mergeCell ref="AU20:AU23"/>
    <mergeCell ref="AV46:AV61"/>
    <mergeCell ref="AY46:AY58"/>
    <mergeCell ref="AV37:AV40"/>
    <mergeCell ref="AY37:AY40"/>
    <mergeCell ref="AV41:AV45"/>
    <mergeCell ref="AY41:AY45"/>
    <mergeCell ref="T13:T14"/>
    <mergeCell ref="R15:R17"/>
    <mergeCell ref="T15:T17"/>
    <mergeCell ref="Q20:Q23"/>
    <mergeCell ref="Q24:Q27"/>
    <mergeCell ref="Q28:Q29"/>
    <mergeCell ref="Q35:Q36"/>
    <mergeCell ref="Q30:Q34"/>
    <mergeCell ref="S3:S17"/>
    <mergeCell ref="S18:S23"/>
    <mergeCell ref="R18:R19"/>
    <mergeCell ref="R20:R23"/>
    <mergeCell ref="R24:R27"/>
    <mergeCell ref="R28:R29"/>
    <mergeCell ref="R30:R34"/>
    <mergeCell ref="R35:R36"/>
    <mergeCell ref="T18:T19"/>
    <mergeCell ref="T20:T23"/>
    <mergeCell ref="T24:T27"/>
    <mergeCell ref="T28:T29"/>
    <mergeCell ref="T30:T34"/>
    <mergeCell ref="T35:T36"/>
    <mergeCell ref="BE41:BE45"/>
    <mergeCell ref="S37:S45"/>
    <mergeCell ref="S46:S61"/>
    <mergeCell ref="S62:S72"/>
    <mergeCell ref="S24:S36"/>
    <mergeCell ref="AJ20:AJ23"/>
    <mergeCell ref="AN20:AN23"/>
    <mergeCell ref="AO20:AO23"/>
    <mergeCell ref="Q46:Q51"/>
    <mergeCell ref="Q52:Q58"/>
    <mergeCell ref="Q59:Q61"/>
    <mergeCell ref="Q62:Q63"/>
    <mergeCell ref="Q64:Q67"/>
    <mergeCell ref="Q68:Q69"/>
    <mergeCell ref="Q70:Q72"/>
    <mergeCell ref="R52:R58"/>
    <mergeCell ref="R59:R61"/>
    <mergeCell ref="R62:R63"/>
    <mergeCell ref="R64:R67"/>
    <mergeCell ref="R68:R69"/>
    <mergeCell ref="R70:R72"/>
    <mergeCell ref="AD59:AD61"/>
    <mergeCell ref="AC62:AC67"/>
    <mergeCell ref="AE30:AE36"/>
    <mergeCell ref="S74:S75"/>
    <mergeCell ref="A3:A72"/>
    <mergeCell ref="A73:A76"/>
    <mergeCell ref="B3:B72"/>
    <mergeCell ref="C3:C17"/>
    <mergeCell ref="D3:D17"/>
    <mergeCell ref="E3:E17"/>
    <mergeCell ref="F3:F17"/>
    <mergeCell ref="G3:G17"/>
    <mergeCell ref="H3:H12"/>
    <mergeCell ref="H13:H14"/>
    <mergeCell ref="H15:H17"/>
    <mergeCell ref="I3:I12"/>
    <mergeCell ref="J3:J12"/>
    <mergeCell ref="J13:J14"/>
    <mergeCell ref="J15:J17"/>
    <mergeCell ref="I15:I17"/>
    <mergeCell ref="I13:I14"/>
    <mergeCell ref="K3:K12"/>
    <mergeCell ref="K13:K14"/>
    <mergeCell ref="K15:K17"/>
    <mergeCell ref="C24:C36"/>
    <mergeCell ref="D24:D36"/>
    <mergeCell ref="F24:F36"/>
    <mergeCell ref="G24:G36"/>
    <mergeCell ref="H24:H29"/>
    <mergeCell ref="H30:H34"/>
    <mergeCell ref="H35:H36"/>
    <mergeCell ref="J24:J27"/>
    <mergeCell ref="J28:J29"/>
    <mergeCell ref="K24:K27"/>
    <mergeCell ref="K28:K29"/>
    <mergeCell ref="I24:I27"/>
    <mergeCell ref="I28:I29"/>
    <mergeCell ref="J30:J34"/>
    <mergeCell ref="I30:I34"/>
    <mergeCell ref="K30:K34"/>
    <mergeCell ref="I35:I36"/>
    <mergeCell ref="J35:J36"/>
    <mergeCell ref="K35:K36"/>
    <mergeCell ref="Z30:Z34"/>
    <mergeCell ref="Z3:Z12"/>
    <mergeCell ref="Z13:Z14"/>
    <mergeCell ref="Z15:Z17"/>
    <mergeCell ref="AA3:AA17"/>
    <mergeCell ref="Y3:Y12"/>
    <mergeCell ref="Y13:Y14"/>
    <mergeCell ref="Y15:Y17"/>
    <mergeCell ref="AB18:AB19"/>
    <mergeCell ref="Z18:Z19"/>
    <mergeCell ref="AA18:AA23"/>
    <mergeCell ref="Y20:Y23"/>
    <mergeCell ref="AB3:AB12"/>
    <mergeCell ref="AB13:AB14"/>
    <mergeCell ref="AB15:AB17"/>
    <mergeCell ref="AB62:AB63"/>
    <mergeCell ref="AB64:AB67"/>
    <mergeCell ref="AA74:AA75"/>
    <mergeCell ref="Y68:Y69"/>
    <mergeCell ref="Z68:Z69"/>
    <mergeCell ref="Y70:Y72"/>
    <mergeCell ref="Z70:Z72"/>
    <mergeCell ref="AB24:AB27"/>
    <mergeCell ref="AB28:AB29"/>
    <mergeCell ref="Y41:Y45"/>
    <mergeCell ref="Z41:Z45"/>
    <mergeCell ref="AA37:AA45"/>
    <mergeCell ref="Y37:Y40"/>
    <mergeCell ref="Z37:Z40"/>
    <mergeCell ref="AB37:AB40"/>
    <mergeCell ref="AB41:AB45"/>
    <mergeCell ref="Y24:Y27"/>
    <mergeCell ref="Y28:Y29"/>
    <mergeCell ref="Z24:Z27"/>
    <mergeCell ref="Z28:Z29"/>
    <mergeCell ref="AA24:AA36"/>
    <mergeCell ref="Y35:Y36"/>
    <mergeCell ref="Z35:Z36"/>
    <mergeCell ref="Y30:Y34"/>
  </mergeCells>
  <hyperlinks>
    <hyperlink ref="BE47" r:id="rId1" display="https://drive.google.com/drive/folders/1vvl2AIMFdmoyVKXn9HD6HKXQlZmHPM5d" xr:uid="{00000000-0004-0000-0000-000000000000}"/>
    <hyperlink ref="BE53" r:id="rId2" display="https://drive.google.com/drive/u/8/folders/1T2IKBdJ-Uc42iU2-jkgKkUZ6gO5QDkYH _x000a_" xr:uid="{00000000-0004-0000-0000-000001000000}"/>
    <hyperlink ref="BE64" r:id="rId3" xr:uid="{00000000-0004-0000-0000-000002000000}"/>
    <hyperlink ref="BE4" r:id="rId4" xr:uid="{00000000-0004-0000-0000-000003000000}"/>
    <hyperlink ref="BE76" r:id="rId5" display="https://docs.google.com/document/d/17W6G866MDztk-aPZX60UewXah0Lqcc0S/edit" xr:uid="{00000000-0004-0000-0000-000004000000}"/>
    <hyperlink ref="BE70" r:id="rId6" xr:uid="{00000000-0004-0000-0000-000005000000}"/>
    <hyperlink ref="BE69" r:id="rId7" location="gid=1637750287" xr:uid="{00000000-0004-0000-0000-000006000000}"/>
    <hyperlink ref="BE72" r:id="rId8" display="https://www.facebook.com/IpccCartagenadeIndias/posts/5439594309444029" xr:uid="{00000000-0004-0000-0000-000007000000}"/>
    <hyperlink ref="BE67" r:id="rId9" xr:uid="{00000000-0004-0000-0000-000008000000}"/>
    <hyperlink ref="BE65" r:id="rId10" display="https://drive.google.com/drive/folders/1Hl3B8uB_ZlcgGQ7QvRXBt3FVVRZ3qLko" xr:uid="{00000000-0004-0000-0000-000009000000}"/>
    <hyperlink ref="BE52" r:id="rId11" xr:uid="{00000000-0004-0000-0000-00000A000000}"/>
    <hyperlink ref="BE3" r:id="rId12" xr:uid="{00000000-0004-0000-0000-00000B000000}"/>
    <hyperlink ref="BE6" r:id="rId13" xr:uid="{00000000-0004-0000-0000-00000C000000}"/>
    <hyperlink ref="BE5" r:id="rId14" xr:uid="{00000000-0004-0000-0000-00000D000000}"/>
    <hyperlink ref="BE10" r:id="rId15" xr:uid="{00000000-0004-0000-0000-00000E000000}"/>
    <hyperlink ref="BE11" r:id="rId16" xr:uid="{00000000-0004-0000-0000-00000F000000}"/>
    <hyperlink ref="BE12" r:id="rId17" xr:uid="{00000000-0004-0000-0000-000010000000}"/>
    <hyperlink ref="BE13" r:id="rId18" xr:uid="{00000000-0004-0000-0000-000011000000}"/>
    <hyperlink ref="BE14" r:id="rId19" xr:uid="{00000000-0004-0000-0000-000012000000}"/>
    <hyperlink ref="BE15" r:id="rId20" xr:uid="{00000000-0004-0000-0000-000013000000}"/>
    <hyperlink ref="BE16" r:id="rId21" xr:uid="{00000000-0004-0000-0000-000014000000}"/>
    <hyperlink ref="BE17" r:id="rId22" xr:uid="{00000000-0004-0000-0000-000015000000}"/>
    <hyperlink ref="BE19" r:id="rId23" display="https://drive.google.com/drive/folders/1eH9JwoSEo70viEZ1fFeDsgscQDOF0pP8?usp=sharing" xr:uid="{00000000-0004-0000-0000-000016000000}"/>
    <hyperlink ref="BE18" r:id="rId24" xr:uid="{00000000-0004-0000-0000-000017000000}"/>
    <hyperlink ref="BE28" r:id="rId25" display="https://drive.google.com/drive/u/8/folders/1n4p0TCUzcQIVDGVw4VumpCQAIvOAVU6o" xr:uid="{00000000-0004-0000-0000-000018000000}"/>
    <hyperlink ref="BE59" r:id="rId26" xr:uid="{00000000-0004-0000-0000-000019000000}"/>
    <hyperlink ref="BE31" r:id="rId27" xr:uid="{00000000-0004-0000-0000-00001A000000}"/>
    <hyperlink ref="BE30" r:id="rId28" display="https://drive.google.com/drive/u/8/folders/1fF6oNH2WWVGVtlzKTYB9n9-6RX4liGE5" xr:uid="{00000000-0004-0000-0000-00001B000000}"/>
    <hyperlink ref="BE33" r:id="rId29" xr:uid="{00000000-0004-0000-0000-00001C000000}"/>
  </hyperlinks>
  <pageMargins left="0.7" right="0.7" top="0.75" bottom="0.75" header="0.3" footer="0.3"/>
  <pageSetup paperSize="9" orientation="portrait"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LUZ  MARINA SEVERICHE MONROY</cp:lastModifiedBy>
  <dcterms:created xsi:type="dcterms:W3CDTF">2021-01-29T22:07:04Z</dcterms:created>
  <dcterms:modified xsi:type="dcterms:W3CDTF">2022-01-24T00:06:19Z</dcterms:modified>
</cp:coreProperties>
</file>