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ma\OneDrive\Documentos\SEGUIMIENTOS PLANES DE ACCIÓN A DICIEMBRE 31 DE 2021\"/>
    </mc:Choice>
  </mc:AlternateContent>
  <xr:revisionPtr revIDLastSave="0" documentId="8_{985DF764-7876-4CE8-A4FC-CB053C265F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" l="1"/>
  <c r="U4" i="1"/>
  <c r="W23" i="1"/>
  <c r="W4" i="1"/>
  <c r="W6" i="1"/>
  <c r="B27" i="1"/>
  <c r="AF24" i="1"/>
  <c r="AF21" i="1"/>
  <c r="W21" i="1"/>
  <c r="V21" i="1"/>
  <c r="V23" i="1"/>
  <c r="AV23" i="1"/>
  <c r="AU3" i="1"/>
  <c r="AV3" i="1" s="1"/>
  <c r="AQ3" i="1"/>
  <c r="AQ2" i="1"/>
  <c r="AV19" i="1"/>
  <c r="AV18" i="1"/>
  <c r="AV22" i="1"/>
  <c r="AV21" i="1"/>
  <c r="AV20" i="1"/>
  <c r="AV15" i="1"/>
  <c r="AV12" i="1"/>
  <c r="AV10" i="1"/>
  <c r="AV8" i="1"/>
  <c r="AV6" i="1"/>
  <c r="AV5" i="1"/>
  <c r="AV4" i="1"/>
  <c r="AV2" i="1"/>
  <c r="AF23" i="1" l="1"/>
  <c r="V15" i="1"/>
  <c r="AF11" i="1"/>
  <c r="U17" i="1"/>
  <c r="V16" i="1"/>
  <c r="AF2" i="1"/>
  <c r="AF7" i="1" s="1"/>
  <c r="H22" i="1"/>
  <c r="H13" i="1"/>
  <c r="U13" i="1"/>
  <c r="AU16" i="1"/>
  <c r="AU23" i="1" s="1"/>
  <c r="W22" i="1" l="1"/>
  <c r="W13" i="1"/>
  <c r="G8" i="1"/>
  <c r="X13" i="1" l="1"/>
  <c r="W15" i="1"/>
  <c r="V22" i="1"/>
  <c r="AS8" i="1" l="1"/>
  <c r="AS14" i="1"/>
  <c r="U9" i="1"/>
  <c r="V9" i="1" s="1"/>
  <c r="R2" i="1"/>
  <c r="U2" i="1" s="1"/>
  <c r="U8" i="1"/>
  <c r="V8" i="1" s="1"/>
  <c r="V11" i="1" s="1"/>
  <c r="AS2" i="1"/>
  <c r="AQ16" i="1"/>
  <c r="AV16" i="1" s="1"/>
  <c r="F22" i="1" l="1"/>
  <c r="F16" i="1"/>
  <c r="F13" i="1"/>
  <c r="X22" i="1" l="1"/>
  <c r="X16" i="1"/>
  <c r="AV17" i="1"/>
  <c r="AR23" i="1"/>
  <c r="AV14" i="1"/>
  <c r="U20" i="1"/>
  <c r="W9" i="1"/>
  <c r="AQ23" i="1" l="1"/>
  <c r="W2" i="1"/>
  <c r="W7" i="1" s="1"/>
  <c r="W24" i="1" s="1"/>
  <c r="V6" i="1"/>
  <c r="O8" i="1"/>
  <c r="W8" i="1" s="1"/>
  <c r="B29" i="1" l="1"/>
  <c r="X8" i="1"/>
  <c r="W11" i="1"/>
  <c r="V7" i="1"/>
  <c r="V24" i="1" s="1"/>
  <c r="B26" i="1" s="1"/>
  <c r="X2" i="1"/>
  <c r="B28" i="1" l="1"/>
  <c r="X23" i="1"/>
  <c r="G2" i="1"/>
</calcChain>
</file>

<file path=xl/sharedStrings.xml><?xml version="1.0" encoding="utf-8"?>
<sst xmlns="http://schemas.openxmlformats.org/spreadsheetml/2006/main" count="213" uniqueCount="179">
  <si>
    <t>PILAR</t>
  </si>
  <si>
    <t>LINEA ESTRATEGICA</t>
  </si>
  <si>
    <t>Indicador de Bienestar</t>
  </si>
  <si>
    <t>Línea Base 2019</t>
  </si>
  <si>
    <t>Meta de Bienestar 2020-2023</t>
  </si>
  <si>
    <t xml:space="preserve">PROGRAMA </t>
  </si>
  <si>
    <t>Indicador de Producto</t>
  </si>
  <si>
    <t>Descripción de la Meta Producto 2020-2023</t>
  </si>
  <si>
    <t>Valor Absoluto de la Meta Producto 2020-2023</t>
  </si>
  <si>
    <t>PROGRAMACIÓN META PRODUCTO A 2021</t>
  </si>
  <si>
    <t>ACUMULADO META PRODUCTO 
JUL- DIC 2020</t>
  </si>
  <si>
    <t>PROYECTO</t>
  </si>
  <si>
    <t>Código de proyecto BPIN</t>
  </si>
  <si>
    <t>Objetivo del proyecto</t>
  </si>
  <si>
    <t>ACTIVIDADES DE PROYECTO</t>
  </si>
  <si>
    <t>Valor Absoluto de la Actividad del  Proyecto para 2021</t>
  </si>
  <si>
    <t xml:space="preserve">DEPENDENCIA RESPONSABLE </t>
  </si>
  <si>
    <t>NOMBRE DEL RESPONSABLE</t>
  </si>
  <si>
    <t>Fuente de Financiación</t>
  </si>
  <si>
    <t>Apropiación Definitiva
(en pesos)</t>
  </si>
  <si>
    <t>Rubro Presupuestal</t>
  </si>
  <si>
    <t>Código Presupuestal</t>
  </si>
  <si>
    <t>CRONOGRAMA PROGRAMADO (DIAS)</t>
  </si>
  <si>
    <t>CRONOGRAMA EJECUTADO (DIAS)</t>
  </si>
  <si>
    <t>BENEFICIARIOS PROGRAMADOS</t>
  </si>
  <si>
    <t>BENEFICIARIOS CUBIERTOS</t>
  </si>
  <si>
    <t>REPORTES DE AVANCE METAS PRODUCTOS A MARZO 31 DE 2021</t>
  </si>
  <si>
    <t>REPORTES DE AVANCE DE METAS PRODUCTOS A JUNIO 30 DE 2021</t>
  </si>
  <si>
    <t>DESARROLLO URBANO</t>
  </si>
  <si>
    <t>% DE COBERTURA DE VIAS URBANAS Y RURALES PARA EL TRANSPORTE Y LA MOVILIDAD CONSTRUIDAS, REHABILITADAS O MEJORADAS EN LA CIUDAD DE CARTAGENA</t>
  </si>
  <si>
    <t>LLEVAR AL 74% EL PORCENTAJE DE COBERTURA DE LAS VIAS URBANAS Y RURALES</t>
  </si>
  <si>
    <t>CARTAGENA SE MUEVE</t>
  </si>
  <si>
    <t>KILOMETROS CARRIL DE VIAS URBANAS Y RURALES CONSTRUIDOS, REHABILITADOS Y/O MEJORADOS</t>
  </si>
  <si>
    <t>CONSTRUIR, REHABILITAR Y/O MEJROAR 32 KILOMETROS CARRIL URBANAS Y RURALES</t>
  </si>
  <si>
    <t xml:space="preserve"> 15,61 KILOMETROS CARRIL DE VIAS URBANAS Y RURALES CONSTRUIDOS, REHABILITADOS Y/O MEJORADOS</t>
  </si>
  <si>
    <t>NUMEROS DE ESTUDIOS, DISEÑOS E INGENIERIAS DE DETALLE DE LOS TRAMOS FALTANTES CON RESPECTO AL TOTAL</t>
  </si>
  <si>
    <t>ELABORAR 8 ESTUDIOS, DISEÑOS DE INGENIERIA DE DETALLES DE LOS TRAMOS FALTANTES</t>
  </si>
  <si>
    <t>ELABORAR 4 ESTUDIOS, DISEÑOS E INGENIERIA DE DETALLE DE  TRAMOS FALTANTES CON RESPECTO AL TOTAL ELABORADO</t>
  </si>
  <si>
    <t>% ESTUDIOS Y DISEÑOS DE LA INGENIERIA DE DETALLE DE LOS CANALES DE LA CIUDAD</t>
  </si>
  <si>
    <t>NUMEROS DE OBRAS CONTINGENTES DERIVADAS DE SENTENCIAS JUDICIALES Y OBRAS DE EMERGENCIA EN INFRAESTRUCTURA DIFERENTES A VIAS CONTRUIDAS</t>
  </si>
  <si>
    <t>N/D</t>
  </si>
  <si>
    <t xml:space="preserve">REALIZAR HASTA 8 OBRAS CONTINGENTES  DERIVADAS DE SENTENCIAS JUDICIALES Y OBRAS DE EMERGENCIA EN INFRAESTRUCTURA DIFERENTES A VIAS </t>
  </si>
  <si>
    <t xml:space="preserve"> 3 OBRAS CONTINGENTES  DERIVADAS DE SENTENCIAS JUDICIALES Y OBRAS DE EMERGENCIA EN INFRAESTRUCTURA DIFERENTES A VIAS </t>
  </si>
  <si>
    <t>AUMENTAR EN UN 7.5% HASTA ALCANZAR EL 12.3% DE CONSTRUCCION DE CANALES PLUVIALES DE LA CIUDAD</t>
  </si>
  <si>
    <t>SISTEMA HIDRICO Y PLAN MAESTRO DE ALCANTARILLADO PLUVIAL EN LA CIUDAD PARA SALVAR EL HABITAD</t>
  </si>
  <si>
    <t>METROS CUBICOS DE RESIDUOS SOLIDOS RETIRADOS DE LOS CANALES PLUVIALES RETIDADOS ANUALMENTE</t>
  </si>
  <si>
    <t>226.297.1 METROS CUBICOS</t>
  </si>
  <si>
    <t>RETIRAR 520.212 METROS CUBICOS DE RESIDUOS SOLIDOS DE LOS CANALES PLUVIALES</t>
  </si>
  <si>
    <t>RETIRAR 257.164 METROS CUBICOS DE RESIDUOS SOLIDOS DE LOS CANALES PLUVIALES</t>
  </si>
  <si>
    <t>CONSTUCCION DE CANALES DE LA CIUDAD</t>
  </si>
  <si>
    <t>KILOMETROS LINEALES DE CANALES PLUVIALES CONSTRUIDOS O RECTIFICADOS</t>
  </si>
  <si>
    <t>10,25 KM LINEALES</t>
  </si>
  <si>
    <t>CONSTRUIR Y/O RECTIFICAR 6.3 KM, HASTA ALCALZAR 10.3 KILOMETROS LINEALES DE CANALES</t>
  </si>
  <si>
    <t xml:space="preserve"> 1.6 KM LINEALES DE CANALES PLUVIALES CONSTRUIDOS Y RECTIFICADOS</t>
  </si>
  <si>
    <t>AUMENTAR EN UN 9% HASTA ALCANZAR EL 48% DELOS ESTUDIOS Y DISEÑOS DE LA INGENIERIA DE DETALLE DE LOS CANALES DE LA CIUDAD</t>
  </si>
  <si>
    <t>PROGRAMA INTEGRAL DE CAÑOS, LAGOS Y CIENAGAS DE CARTAGENA</t>
  </si>
  <si>
    <t>AVANZAR EN LA EJECUCION DE LA ETAPA 1 DEL PROGRAMA INTEGRAL DE CANALES, CAÑOS, LAGOS, LAGUNAS Y CIENAGAS DE CARTAGENA</t>
  </si>
  <si>
    <t>0% EJECUCION</t>
  </si>
  <si>
    <t>EJECUCION 20% DE LA ETAPA 1 (CON IMPACTO DE INDICADORES COMO METROS LINEALES DE CAÑOS Y LAGUNAS INTERVENIDOS CON RELIMPIAS Y DRAGADOS; RUTA DE TRANSPORTE ACUATICO IMPLEMENTADA; M2 DE ESPACIO PUBLICO Y METROS LINEALES DE VIAS Y PUENTES INTERVENIDOS Y/O GENERADOS; ESTUDIO SOCIECONOMICOS DEL TERRITORIO)</t>
  </si>
  <si>
    <t>EJECUCION 10 % DE LA ETAPA 1 DEL PROGRAMA INTEGRAL DE CAÑOS, LAGOS Y CIENAGAS EJECUTADOS</t>
  </si>
  <si>
    <t>SALVEMOS JUNTOS NUESTRO PATRIMONIO NATURAL</t>
  </si>
  <si>
    <t>PLAN DE ORDENAMIENTO TERRITORIAL</t>
  </si>
  <si>
    <t>EJECUTAR 100% LAS ESTRATEGIAS DEL PLAN DE NORMALIZACION URBANISTICA</t>
  </si>
  <si>
    <t>ORDENACIÓN TERRITORIAL, RECUPERACIÓN SOCIAL, AMBIENTAL Y URBANA DE LA CIÉNAGA DE LA VIRGEN</t>
  </si>
  <si>
    <t>ESTUDIOS Y DISEÑOS AJUSTADOS PARA LA CONSTRUCCION DEL TRAMO ESTE DE LA VIA PERIMETRAL CON CALLES DE SERVICIO Y ACCESO</t>
  </si>
  <si>
    <t>3.4 KILOMETROS CONSTRUIDOS</t>
  </si>
  <si>
    <t>ESTUDIOS Y DISEÑOS AJUSTADOS PARA LA CONSTRUCCION 14,2 KM DEL TRAMO ESTE DE LA VIA PERIMETRAL CON CALLES DE SERVICIO Y ACCESO</t>
  </si>
  <si>
    <t>KILOMETROS DE CANBALES SECUNDARIOS REHABILITADOS</t>
  </si>
  <si>
    <t>REHABILITAR 3,5 KILOMETROS CANALES SECUNDARIOS</t>
  </si>
  <si>
    <t>KILOMETROS DE CANALES BAJO CALLE CONSTRUIDOS</t>
  </si>
  <si>
    <t>CONSTRUIR 7 KILOMETROS DE CANALES BAJO CALLE</t>
  </si>
  <si>
    <t>EJE TRANSVERSAL: CARTAGENA CON ATENCION Y GARANTIA DE DERECHOS A POBLACIÓN DIFERENCIAL.</t>
  </si>
  <si>
    <t>PORCENTAJE DE LA POBLACION AFRO, NEGRA, RAIZAL, PALENQUERA E INDIGENA QUE HABIATA EL DISTRITO DE CARTAGENA CON RECONOCIMIENTO DE SUS DERECHOS, DIVERSIDAD ETNICA Y CULTURAL COMO UN PRINCIPIO FUNDAMENTAL DEL ESTADO SOCIAL Y DEMOCRATICO DE DERECHO.</t>
  </si>
  <si>
    <t>ND</t>
  </si>
  <si>
    <t>LOGRAR QUE EL 100% LA POBLACION AFRO, NEGRA, RAIZAL, PALENQUERA E INDIGENA QUE HABIATA EL DISTRITO DE CARTAGENA CON RECONOCIMIENTO DE SUS DERECHOS, DIVERSIDAD ETNICA Y CULTURAL COMO UN PRINCIPIO FUNDAMENTAL DEL ESTADO SOCIAL Y DEMOCRATICO DE DERECHO.</t>
  </si>
  <si>
    <t>ADECUACION DE CENTROS DE SALUD COMUNIDAD ETNICA</t>
  </si>
  <si>
    <t>ADECUACION DE 26 CENTROS DE SALUD EN TERRIORIOS DE CONSEJOS COMUNITARIOS</t>
  </si>
  <si>
    <t>CONSTRUCCION , MEJORAMIENTO Y REHABILITACION DE VIAS PARA EL TRANSPORTE Y LA MOVILIDAD EN EL DISTRITO DE CARTAGENA DE INDIAS</t>
  </si>
  <si>
    <t>MEJORA LOS NIVELES DE MOVILIDAD EN EL TRAFICO VEHICULAR EN EL DISTRITO DE CARTAGENA</t>
  </si>
  <si>
    <t>RELIZAR MEJORAMIENTO, CONSTRUCCION, REHABILITACION DE VIAS PARA OBRAS DEL SECTOR TRANSPORTE EN EL DISTRITO DE CARTAGENA DE INDITAS</t>
  </si>
  <si>
    <t>PERSONAL DE APOYO</t>
  </si>
  <si>
    <t>APOYO LOGISTICO</t>
  </si>
  <si>
    <t>ESTUDIOS Y DISEÑOS DE INGENIERIA</t>
  </si>
  <si>
    <t>CONSTRUCION DE OBRAS DERIVADAS DE SENTENCIAS JUDICIALES Y OBRAS DE INFRAESTRUCTURA DE EMERGECIA, DIFERENTES  A VIAS CONSTRUIDAS</t>
  </si>
  <si>
    <t>REHABILITACION Y RECUPERACION DEL SISTEMA HIDRICO Y CANALES PARA SALVAR EL HABITAT EN EL DISTRITO DE CARTAGENA DE INDIAS</t>
  </si>
  <si>
    <t>DISMINUCION DE LA CONTAMINACION Y RECUPERACION DEL SISTEMA HIDRICO Y CANALES PLUVIALES DEL DISTRITO DE CARATGENA DE INDIAS</t>
  </si>
  <si>
    <t>RELIZAR LIMPIEZA INICIAL DE CANALES, CAÑOS, LAGOS, LAGUNAS Y CIEGANAS Y DISPOSICIOND MATERIAL EN RELLENOS SANITARIOS</t>
  </si>
  <si>
    <t>REALIZAR REHABILITACION Y/O RECTIFICACION DE LOS CANALES, CAÑOS, LAGOS, LAGUNAS Y CIENEGAS, Y REALIZAR CONSTRUCCION DE CANALES PLUVIALES DEL DISTRITO DE CARTAGENA DE INDIAS</t>
  </si>
  <si>
    <t>SECRETARIA DE INFRAESTRUCTURA</t>
  </si>
  <si>
    <t>LUIS ALBERTO VILLADIEGO CARCAMO</t>
  </si>
  <si>
    <t>3.200.000,000,00 8.092.544.595,00     1.323.407.475,00</t>
  </si>
  <si>
    <t>CONSTRUCCION, MEJORAMIENTO Y REHABILITACION DE VIAS PARA EL TRANSPORTE Y LA MOVILIDAD EN EL DISTRITO DE CARTAGENA DE INDIAS  ET+</t>
  </si>
  <si>
    <t>Ingresos Corrientes de Libre Destinación   Contraprestaciones Portuarias</t>
  </si>
  <si>
    <t>3.172.317.774,00   1.000.000.000,00</t>
  </si>
  <si>
    <t>SISTEMA HIDRICO Y PLAN MAESTRO DE ALCANTARILLADO PLUVIALES EN LA CIUDAD PARA SALVAR EL HABITAT ET+</t>
  </si>
  <si>
    <t xml:space="preserve">Ingresos Corrientes de Libre Destinación     Dividendos de Acuacar </t>
  </si>
  <si>
    <t>267.692.143,00          2.676.560.170,00</t>
  </si>
  <si>
    <t>RECUPERACION INTEGRAL DE CANOS, LAGOS, LAGUNAS Y CIENAGAS DEL DISTRITO DE CARTAGENA DE INDIAS ET+</t>
  </si>
  <si>
    <t>Ingresos Corrientes de Libre Destinación                                                Contraprestaciones portuarias</t>
  </si>
  <si>
    <t>ORDENAMIENTO Y RECUPERACION SOCIAL, AMBIENTAL DE LA CIENAGA DE LA VIRGEN</t>
  </si>
  <si>
    <t>291.851.723                                          546.500.002</t>
  </si>
  <si>
    <t xml:space="preserve">Ingresos Corrientes de Libre Destinación   </t>
  </si>
  <si>
    <t>ADECUACION DE CENTRO DE SALUD PARA LA POBLACION NEGRA, AFROCOLOMBIANA, RAIZAL Y PALENQUERA EN DISTRITO DE CARTAGENA</t>
  </si>
  <si>
    <t>02-001-06-20-05-01-04-01</t>
  </si>
  <si>
    <t>Adecuación DE CENTROS DE SALUD PARA LA POBLACIÓN NEGRA, AFROCOLOMBIANA, RAIZAL Y PALENQUERA EN EL DISTRITO DE Cartagena de Indias</t>
  </si>
  <si>
    <t>*REALIZAR PRELIMINARES *REALIZAR MURO DE CERRAMIENTO POSTERIOR Y LATERAL DERECHO.</t>
  </si>
  <si>
    <t>ADECUACIÓN DE CENTROS DE SALUD PARA LA POBLACIÓN NEGRA, AFROCOLOMBIANA, RAIZAL Y PALENQUERA EN EL DISTRITO DE CARTAGENA DE INDIAS</t>
  </si>
  <si>
    <t>ELABORACIÓN DE ESTUDIOS Y DISEÑOS AJUSTADOS DE LA VÍA PERIMETRAL EN EL MARCO DEL PROGRAMA ORDENACIÓN TERRITORIAL Y RECUPERACIÓN SOCIAL, AMBIENTAL Y URBANA DE LA CIÉNAGA DE LA VIRGEN, EN EL DISTRITO DE CARTAGENA DE INDIAS.</t>
  </si>
  <si>
    <t>Mejorar las condiciones para el desarrollo urbano, turístico, social y la recuperación ambiental del borde de la Ciénaga de la Virgen.</t>
  </si>
  <si>
    <t>AVANCE META PRODUCTO 2021</t>
  </si>
  <si>
    <t>Apropiación Definitiva
(en pesos) Predis</t>
  </si>
  <si>
    <t>02-002-06-95-01-03-05-01</t>
  </si>
  <si>
    <t xml:space="preserve"> SOBRETASA ALCANTARILLADO
CREDITO INTERNO</t>
  </si>
  <si>
    <t>RENDIMIENTOS FINANCIEROS BALDIOS Y VENTA DE ACTIVOS
RENDIMIENTOS FINANCIEROS SOBRETASA ALCANTARILLADO</t>
  </si>
  <si>
    <t>% AVANCE DEL PROGRAMA EN EL CUATRIENIO</t>
  </si>
  <si>
    <t>vigencia furuta</t>
  </si>
  <si>
    <t xml:space="preserve">*REALIZAE ESTUDIOS TECNICOS,                       * REALIZAR DISEÑOS. </t>
  </si>
  <si>
    <t>Avance Meta de Bienestar Junio 2021</t>
  </si>
  <si>
    <t>AVANCE ACTIVIDADES DE PROYECTO A JUNIO 2021</t>
  </si>
  <si>
    <t>no especificado</t>
  </si>
  <si>
    <t>Ejecucion presupuestal a JUNIO 2021</t>
  </si>
  <si>
    <t>Avance Meta de Bienestar Noviembre 2021</t>
  </si>
  <si>
    <t>AVANCE ACTIVIDADES DE PROYECTO A NOVIEMBRE 2021</t>
  </si>
  <si>
    <t>Ejecucion presupuestal a SEPTIEMBRE 2021</t>
  </si>
  <si>
    <t>Ejecucion presupuestal a NOVIEMBRE 2021</t>
  </si>
  <si>
    <t>*Botadero parcialmente ejecutado. * Banco de maquinas En ejecucion. *convenio limpieza esp se encuentra revision por la UAC. * Permisos de Campestre ejecutado. * Interventoria de limpieza especia por convocar. Pago de liquidacion correspondiente a Matute ejecutado, La floresta ya dieron cdp esta por convocar, Reajuste y construccion de estructura en el mercado POR CONVOCAR</t>
  </si>
  <si>
    <t>Suministro e Instalacion provicional de puente las palmas  EN EJECUCION</t>
  </si>
  <si>
    <t>REPORTES DE AVANCE DE METAS PRODUCTOS A SEPTIEMBRE 30 DE 2021</t>
  </si>
  <si>
    <t>REPORTES DE AVANCE DE METAS PRODUCTOS A NOVIEMBRE 30 DE 2021</t>
  </si>
  <si>
    <t>PROMOCION, PREVENCION Y ATENCION EN SALUD PARA LA POBLACIÓN NEGRA, AFROCOLOMBIANA, RAIZAL Y PALENQUERA EN EL DISTRITO DE CARTAGENA</t>
  </si>
  <si>
    <r>
      <t>* Tapas y rejillas fase I, EJECUTADO.  * Estudios mercado de basurto en ejecucion. *Fase I monto agotable a la espera de interventoria, Interventoria en proceso de legalizacion de la interventoria, a la espera de los cumplimiento de los pliegos. * Benjamin Herrera TERMINADO. Malla Vial Fase II, Interventoria Malla Vial Fase II, Tapas y rejillas fase ii TERMINADO, Patologia de los puentes EN EJECUCION *</t>
    </r>
    <r>
      <rPr>
        <sz val="9"/>
        <rFont val="Arial"/>
        <family val="2"/>
      </rPr>
      <t xml:space="preserve"> ADICIONALES FASE I</t>
    </r>
  </si>
  <si>
    <t xml:space="preserve">JUAN ANGOLA </t>
  </si>
  <si>
    <t>META ACUMULADA A DICIEMBRE 2021</t>
  </si>
  <si>
    <t>REPORTES DE AVANCE DE METAS PRODUCTOS A DICIEMBRE 31 DE 2021</t>
  </si>
  <si>
    <t>Avance Meta de Bienestar Diciembre 2021</t>
  </si>
  <si>
    <t>% AVANCE DE LA EJECUCION PRESUPUESTAL DICIEMBRE 2021</t>
  </si>
  <si>
    <t>AVANCE ACTIVIDADES DE PROYECTO ADICIEMBRE 2021</t>
  </si>
  <si>
    <t xml:space="preserve">AVANCE DEL PROGRAMA EN EL CUATRIENIO
</t>
  </si>
  <si>
    <t>OBSERVACIONES ENE-DIC 2021</t>
  </si>
  <si>
    <t xml:space="preserve">02-124-06-20-01-03-01-01
</t>
  </si>
  <si>
    <t>02-038-06-91-01-03-01-01</t>
  </si>
  <si>
    <t>Ejecucion presupuestal a DICIEMBRE 2021</t>
  </si>
  <si>
    <t>Porcentaje de avance de ejecucion presupuestal DICIMEBRE 2021</t>
  </si>
  <si>
    <t xml:space="preserve">02-001-06-10-01-03-02-01                  </t>
  </si>
  <si>
    <t xml:space="preserve"> 02-053-06-10-01-03-02-01
</t>
  </si>
  <si>
    <t>02-053-06-95-01-03-02-01</t>
  </si>
  <si>
    <t xml:space="preserve">02-001-06-20-01-03-05-01                 </t>
  </si>
  <si>
    <t xml:space="preserve"> 02-062-06-20-01-03-05-01</t>
  </si>
  <si>
    <t xml:space="preserve">02-001-06-20-01-07-03-01                                               </t>
  </si>
  <si>
    <t>02-053-06-20-01-07-03-01</t>
  </si>
  <si>
    <t xml:space="preserve">02-127-06-95-01-03-05-01
</t>
  </si>
  <si>
    <t xml:space="preserve">02-130-06-93-01-03-05-01
</t>
  </si>
  <si>
    <t>02-130-06-95-01-03-05-01</t>
  </si>
  <si>
    <t xml:space="preserve">Ingresos Corrientes de Libre Destinación
</t>
  </si>
  <si>
    <t xml:space="preserve">02-001-06-20-01-03-01-01 
02-001-06-20-01-03-01-02             </t>
  </si>
  <si>
    <t xml:space="preserve">RENDIMIENTOS FINANCIEROS </t>
  </si>
  <si>
    <t xml:space="preserve">Dividendos de Acuacar     
</t>
  </si>
  <si>
    <t>Impuesto Transporte por Oleoducto y Gasoducto</t>
  </si>
  <si>
    <t>SGP Proposito general</t>
  </si>
  <si>
    <t>02-070-06-20-01-03-01-01</t>
  </si>
  <si>
    <t xml:space="preserve">02-062-06-20-01-03-01-01
02-062-06-95-01-03-01-01                            </t>
  </si>
  <si>
    <t xml:space="preserve">CONTRAPRESTACIONES PORTUARIAS
</t>
  </si>
  <si>
    <t>02-053-06-20-01-03-01-01</t>
  </si>
  <si>
    <t xml:space="preserve">Dentro del proyecto se encuentra 4 centros de salud </t>
  </si>
  <si>
    <t>AVANCE PROMEDIO DEL PROGRAMA  2021</t>
  </si>
  <si>
    <t>AVANCE META PRODUCTO  EN EL 2021</t>
  </si>
  <si>
    <t>AVANCEPROMEDIO  DEL PROGRAMA 2021</t>
  </si>
  <si>
    <t>AVANCE DEL PROGRAMA CARTAGENA SE MUEVE</t>
  </si>
  <si>
    <t>AVANCE DEL PROGRAMA SISTEMA HIDRICO Y PLAN MAESTRO DE ALCANTARILLADO PLUVIAL EN LA CIUDAD PARA SALVAR EL HABITAD</t>
  </si>
  <si>
    <t>AVANCE DEL PROGRAMA  INTEGRAL DE CAÑOS, LAGOS Y CIENAGAS DE CARTAGENA</t>
  </si>
  <si>
    <t>AVANCE DEL PROGRAMA ORDENACIÓN TERRITORIAL, RECUPERACIÓN SOCIAL, AMBIENTAL Y URBANA DE LA CIÉNAGA DE LA VIRGEN</t>
  </si>
  <si>
    <t>AVANCE DEL PROGRAMA PROMOCION, PREVENCION Y ATENCION EN SALUD PARA LA POBLACIÓN NEGRA, AFROCOLOMBIANA, RAIZAL Y PALENQUERA EN EL DISTRITO DE CARTAGENA</t>
  </si>
  <si>
    <t>AVANCE PLAN DE DESARROLLO INFRAESTRUCTURA A DICIEMBRE 31 DE 2021</t>
  </si>
  <si>
    <t>AVANCE PROMEDIO DEL PROYECTO DEL PROGRAMA CARTAGENA SE MUEVE</t>
  </si>
  <si>
    <t>AVANCE PROMEDIO DEL PROYECTO DEL PROGRAMA SISTEMA HIDRICO Y PLAN MAESTRO DE ALCANTARILLADO PLUVIAL EN LA CIUDAD PARA SALVAR EL HABITAD</t>
  </si>
  <si>
    <t>AVANCE PROMEDIO DEL PROYECTO DEL PROGRAMA ORDENACIÓN TERRITORIAL, RECUPERACIÓN SOCIAL, AMBIENTAL Y URBANA DE LA CIÉNAGA DE LA VIRGEN</t>
  </si>
  <si>
    <t>AVANCE PROMEDIO DEL PROYECTO DEL PROGRAMA PROMOCION, PREVENCION Y ATENCION EN SALUD PARA LA POBLACIÓN NEGRA, AFROCOLOMBIANA, RAIZAL Y PALENQUERA EN EL DISTRITO DE CARTAGENA</t>
  </si>
  <si>
    <t>AVANCE PLAN DE ACCIÓN SECRETARIA DE INFRAESTRUCTURA A DICIEMBRE 31 DE 2021</t>
  </si>
  <si>
    <t>% AVANCE EJECUCION PRESUPUESTAL SECRETARIA DE INFRAESTRUCTURA DIC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</si>
</sst>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#,##0.0"/>
    <numFmt numFmtId="166" formatCode="&quot;$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4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1" fontId="0" fillId="4" borderId="4" xfId="0" applyNumberForma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64" fontId="0" fillId="0" borderId="1" xfId="1" applyFont="1" applyBorder="1" applyAlignment="1">
      <alignment vertical="center" wrapText="1"/>
    </xf>
    <xf numFmtId="9" fontId="3" fillId="0" borderId="1" xfId="2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9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1" fillId="3" borderId="1" xfId="2" applyFont="1" applyFill="1" applyBorder="1" applyAlignment="1">
      <alignment horizontal="center" vertical="center" wrapText="1"/>
    </xf>
    <xf numFmtId="9" fontId="0" fillId="0" borderId="0" xfId="2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Font="1" applyBorder="1" applyAlignment="1">
      <alignment horizontal="center" vertical="center" wrapText="1"/>
    </xf>
    <xf numFmtId="9" fontId="0" fillId="4" borderId="1" xfId="2" applyFont="1" applyFill="1" applyBorder="1" applyAlignment="1">
      <alignment horizontal="center" vertical="center"/>
    </xf>
    <xf numFmtId="9" fontId="0" fillId="4" borderId="4" xfId="2" applyFont="1" applyFill="1" applyBorder="1" applyAlignment="1">
      <alignment horizontal="center" vertical="center"/>
    </xf>
    <xf numFmtId="9" fontId="0" fillId="4" borderId="0" xfId="2" applyFont="1" applyFill="1" applyAlignment="1">
      <alignment horizontal="center" vertical="center"/>
    </xf>
    <xf numFmtId="9" fontId="1" fillId="3" borderId="4" xfId="0" applyNumberFormat="1" applyFont="1" applyFill="1" applyBorder="1" applyAlignment="1">
      <alignment horizontal="center" vertical="center" wrapText="1"/>
    </xf>
    <xf numFmtId="9" fontId="1" fillId="3" borderId="6" xfId="0" applyNumberFormat="1" applyFont="1" applyFill="1" applyBorder="1" applyAlignment="1">
      <alignment horizontal="center" vertical="center" wrapText="1"/>
    </xf>
    <xf numFmtId="9" fontId="1" fillId="3" borderId="5" xfId="0" applyNumberFormat="1" applyFont="1" applyFill="1" applyBorder="1" applyAlignment="1">
      <alignment horizontal="center" vertical="center" wrapText="1"/>
    </xf>
    <xf numFmtId="164" fontId="0" fillId="4" borderId="4" xfId="1" applyFont="1" applyFill="1" applyBorder="1" applyAlignment="1">
      <alignment horizontal="center" vertical="center" wrapText="1"/>
    </xf>
    <xf numFmtId="164" fontId="0" fillId="4" borderId="6" xfId="1" applyFont="1" applyFill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4" borderId="4" xfId="2" applyFont="1" applyFill="1" applyBorder="1" applyAlignment="1">
      <alignment horizontal="center" vertical="center"/>
    </xf>
    <xf numFmtId="9" fontId="1" fillId="2" borderId="1" xfId="2" applyFont="1" applyFill="1" applyBorder="1" applyAlignment="1">
      <alignment horizontal="center" vertical="center" wrapText="1"/>
    </xf>
    <xf numFmtId="9" fontId="1" fillId="4" borderId="6" xfId="0" applyNumberFormat="1" applyFont="1" applyFill="1" applyBorder="1" applyAlignment="1">
      <alignment horizontal="center" vertical="center" wrapText="1"/>
    </xf>
    <xf numFmtId="9" fontId="1" fillId="4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9" fontId="1" fillId="3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4" fontId="3" fillId="0" borderId="4" xfId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9" fontId="3" fillId="0" borderId="6" xfId="2" applyFon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 wrapText="1"/>
    </xf>
    <xf numFmtId="164" fontId="0" fillId="4" borderId="1" xfId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1" applyFont="1" applyBorder="1" applyAlignment="1">
      <alignment vertical="center" wrapText="1"/>
    </xf>
    <xf numFmtId="164" fontId="3" fillId="0" borderId="4" xfId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9" fontId="3" fillId="0" borderId="4" xfId="2" applyFont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164" fontId="0" fillId="4" borderId="1" xfId="1" applyFont="1" applyFill="1" applyBorder="1" applyAlignment="1">
      <alignment vertical="center" wrapText="1"/>
    </xf>
    <xf numFmtId="9" fontId="0" fillId="4" borderId="4" xfId="2" applyFont="1" applyFill="1" applyBorder="1" applyAlignment="1">
      <alignment vertical="center" wrapText="1"/>
    </xf>
    <xf numFmtId="9" fontId="0" fillId="4" borderId="6" xfId="2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/>
    </xf>
    <xf numFmtId="9" fontId="3" fillId="0" borderId="1" xfId="2" applyFont="1" applyBorder="1" applyAlignment="1">
      <alignment vertical="center" wrapText="1"/>
    </xf>
    <xf numFmtId="9" fontId="0" fillId="4" borderId="1" xfId="2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64" fontId="3" fillId="0" borderId="1" xfId="1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9" fontId="0" fillId="0" borderId="4" xfId="2" applyFont="1" applyFill="1" applyBorder="1" applyAlignment="1">
      <alignment horizontal="center" vertical="center"/>
    </xf>
    <xf numFmtId="9" fontId="12" fillId="0" borderId="1" xfId="2" applyFont="1" applyFill="1" applyBorder="1" applyAlignment="1">
      <alignment horizontal="center" vertical="center"/>
    </xf>
    <xf numFmtId="10" fontId="0" fillId="0" borderId="1" xfId="2" applyNumberFormat="1" applyFont="1" applyFill="1" applyBorder="1" applyAlignment="1">
      <alignment horizontal="center" vertical="center"/>
    </xf>
    <xf numFmtId="9" fontId="10" fillId="0" borderId="5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9" fontId="10" fillId="0" borderId="1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10" fillId="0" borderId="1" xfId="2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64" fontId="10" fillId="4" borderId="1" xfId="1" applyFont="1" applyFill="1" applyBorder="1" applyAlignment="1">
      <alignment horizontal="center" vertical="center" wrapText="1"/>
    </xf>
    <xf numFmtId="9" fontId="10" fillId="4" borderId="1" xfId="2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" fontId="10" fillId="4" borderId="2" xfId="0" applyNumberFormat="1" applyFont="1" applyFill="1" applyBorder="1" applyAlignment="1">
      <alignment horizontal="center" vertical="center" wrapText="1"/>
    </xf>
    <xf numFmtId="1" fontId="10" fillId="4" borderId="9" xfId="0" applyNumberFormat="1" applyFont="1" applyFill="1" applyBorder="1" applyAlignment="1">
      <alignment horizontal="center" vertical="center" wrapText="1"/>
    </xf>
    <xf numFmtId="1" fontId="10" fillId="4" borderId="3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9" fontId="1" fillId="3" borderId="4" xfId="2" applyFont="1" applyFill="1" applyBorder="1" applyAlignment="1">
      <alignment horizontal="center" vertical="center" wrapText="1"/>
    </xf>
    <xf numFmtId="9" fontId="1" fillId="3" borderId="6" xfId="2" applyFont="1" applyFill="1" applyBorder="1" applyAlignment="1">
      <alignment horizontal="center" vertical="center" wrapText="1"/>
    </xf>
    <xf numFmtId="9" fontId="1" fillId="3" borderId="5" xfId="2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/>
    </xf>
    <xf numFmtId="9" fontId="11" fillId="0" borderId="5" xfId="0" applyNumberFormat="1" applyFont="1" applyFill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9" fontId="10" fillId="0" borderId="4" xfId="2" applyFont="1" applyFill="1" applyBorder="1" applyAlignment="1">
      <alignment horizontal="center" vertical="center"/>
    </xf>
    <xf numFmtId="9" fontId="10" fillId="0" borderId="5" xfId="2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9" fontId="1" fillId="3" borderId="4" xfId="0" applyNumberFormat="1" applyFont="1" applyFill="1" applyBorder="1" applyAlignment="1">
      <alignment horizontal="center" vertical="center" wrapText="1"/>
    </xf>
    <xf numFmtId="9" fontId="1" fillId="3" borderId="5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4" borderId="6" xfId="2" applyFont="1" applyFill="1" applyBorder="1" applyAlignment="1">
      <alignment horizontal="center" vertical="center"/>
    </xf>
    <xf numFmtId="9" fontId="0" fillId="4" borderId="5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9" fontId="0" fillId="0" borderId="4" xfId="0" applyNumberFormat="1" applyFill="1" applyBorder="1" applyAlignment="1">
      <alignment horizontal="center" vertical="center"/>
    </xf>
    <xf numFmtId="9" fontId="0" fillId="0" borderId="5" xfId="0" applyNumberFormat="1" applyFill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0" borderId="4" xfId="2" applyFont="1" applyFill="1" applyBorder="1" applyAlignment="1">
      <alignment horizontal="center" vertical="center"/>
    </xf>
    <xf numFmtId="9" fontId="0" fillId="0" borderId="6" xfId="2" applyFont="1" applyFill="1" applyBorder="1" applyAlignment="1">
      <alignment horizontal="center" vertical="center"/>
    </xf>
    <xf numFmtId="9" fontId="0" fillId="0" borderId="5" xfId="2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 wrapText="1"/>
    </xf>
    <xf numFmtId="1" fontId="0" fillId="0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 vertical="center" wrapText="1"/>
    </xf>
    <xf numFmtId="1" fontId="0" fillId="4" borderId="4" xfId="0" applyNumberFormat="1" applyFill="1" applyBorder="1" applyAlignment="1">
      <alignment horizontal="center" vertical="center"/>
    </xf>
    <xf numFmtId="1" fontId="0" fillId="4" borderId="6" xfId="0" applyNumberForma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4" fontId="3" fillId="0" borderId="4" xfId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164" fontId="3" fillId="0" borderId="5" xfId="1" applyFont="1" applyBorder="1" applyAlignment="1">
      <alignment horizontal="center" vertical="center" wrapText="1"/>
    </xf>
    <xf numFmtId="164" fontId="0" fillId="4" borderId="4" xfId="1" applyFont="1" applyFill="1" applyBorder="1" applyAlignment="1">
      <alignment horizontal="center" vertical="center" wrapText="1"/>
    </xf>
    <xf numFmtId="164" fontId="0" fillId="4" borderId="6" xfId="1" applyFont="1" applyFill="1" applyBorder="1" applyAlignment="1">
      <alignment horizontal="center" vertical="center" wrapText="1"/>
    </xf>
    <xf numFmtId="164" fontId="0" fillId="4" borderId="5" xfId="1" applyFont="1" applyFill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4" fontId="0" fillId="4" borderId="1" xfId="1" applyFont="1" applyFill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165" fontId="1" fillId="4" borderId="8" xfId="0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9" fontId="0" fillId="4" borderId="4" xfId="0" applyNumberFormat="1" applyFill="1" applyBorder="1" applyAlignment="1">
      <alignment horizontal="center" vertical="center"/>
    </xf>
    <xf numFmtId="9" fontId="0" fillId="4" borderId="5" xfId="0" applyNumberFormat="1" applyFill="1" applyBorder="1" applyAlignment="1">
      <alignment horizontal="center" vertical="center"/>
    </xf>
    <xf numFmtId="9" fontId="0" fillId="0" borderId="6" xfId="2" applyFont="1" applyBorder="1" applyAlignment="1">
      <alignment horizontal="center" vertical="center"/>
    </xf>
    <xf numFmtId="9" fontId="1" fillId="4" borderId="4" xfId="0" applyNumberFormat="1" applyFont="1" applyFill="1" applyBorder="1" applyAlignment="1">
      <alignment horizontal="center" vertical="center" wrapText="1"/>
    </xf>
    <xf numFmtId="9" fontId="1" fillId="4" borderId="6" xfId="0" applyNumberFormat="1" applyFont="1" applyFill="1" applyBorder="1" applyAlignment="1">
      <alignment horizontal="center" vertical="center" wrapText="1"/>
    </xf>
    <xf numFmtId="9" fontId="1" fillId="4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9" fontId="1" fillId="4" borderId="4" xfId="2" applyFont="1" applyFill="1" applyBorder="1" applyAlignment="1">
      <alignment horizontal="center" vertical="center" wrapText="1"/>
    </xf>
    <xf numFmtId="9" fontId="1" fillId="4" borderId="6" xfId="2" applyFont="1" applyFill="1" applyBorder="1" applyAlignment="1">
      <alignment horizontal="center" vertical="center" wrapText="1"/>
    </xf>
    <xf numFmtId="9" fontId="1" fillId="4" borderId="5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9"/>
  <sheetViews>
    <sheetView tabSelected="1" topLeftCell="N1" zoomScale="55" zoomScaleNormal="55" workbookViewId="0">
      <pane ySplit="1170" topLeftCell="A4"/>
      <selection activeCell="V1" sqref="V1"/>
      <selection pane="bottomLeft" activeCell="U6" sqref="U6"/>
    </sheetView>
  </sheetViews>
  <sheetFormatPr baseColWidth="10" defaultColWidth="11.453125" defaultRowHeight="14.5" x14ac:dyDescent="0.35"/>
  <cols>
    <col min="1" max="1" width="25.7265625" style="8" customWidth="1"/>
    <col min="2" max="2" width="34.81640625" style="8" customWidth="1"/>
    <col min="3" max="3" width="36.54296875" style="8" customWidth="1"/>
    <col min="4" max="4" width="27.81640625" style="8" customWidth="1"/>
    <col min="5" max="5" width="30.81640625" style="8" customWidth="1"/>
    <col min="6" max="7" width="30.81640625" style="59" customWidth="1"/>
    <col min="8" max="8" width="30.81640625" style="8" customWidth="1"/>
    <col min="9" max="9" width="22.1796875" style="8" customWidth="1"/>
    <col min="10" max="10" width="39" style="8" customWidth="1"/>
    <col min="11" max="11" width="24.7265625" style="8" customWidth="1"/>
    <col min="12" max="12" width="33" style="8" customWidth="1"/>
    <col min="13" max="13" width="25" style="8" customWidth="1"/>
    <col min="14" max="14" width="31.81640625" style="8" customWidth="1"/>
    <col min="15" max="16" width="18.26953125" style="8" customWidth="1"/>
    <col min="17" max="17" width="24.81640625" style="8" customWidth="1"/>
    <col min="18" max="20" width="28.453125" style="8" customWidth="1"/>
    <col min="21" max="21" width="20.81640625" style="8" customWidth="1"/>
    <col min="22" max="22" width="18.26953125" style="8" customWidth="1"/>
    <col min="23" max="23" width="23.54296875" style="8" customWidth="1"/>
    <col min="24" max="24" width="0.26953125" style="8" customWidth="1"/>
    <col min="25" max="25" width="40.1796875" style="8" customWidth="1"/>
    <col min="26" max="26" width="18.54296875" style="8" customWidth="1"/>
    <col min="27" max="27" width="30.81640625" style="8" customWidth="1"/>
    <col min="28" max="28" width="42.54296875" style="8" customWidth="1"/>
    <col min="29" max="29" width="36.54296875" style="8" customWidth="1"/>
    <col min="30" max="31" width="36.54296875" style="66" customWidth="1"/>
    <col min="32" max="32" width="36.54296875" style="56" customWidth="1"/>
    <col min="33" max="33" width="34.26953125" style="8" customWidth="1"/>
    <col min="34" max="34" width="37.81640625" style="8" customWidth="1"/>
    <col min="35" max="35" width="32" style="8" customWidth="1"/>
    <col min="36" max="36" width="33.453125" style="8" customWidth="1"/>
    <col min="37" max="37" width="34.1796875" style="8" customWidth="1"/>
    <col min="38" max="38" width="35.26953125" style="8" customWidth="1"/>
    <col min="39" max="39" width="33.26953125" style="8" customWidth="1"/>
    <col min="40" max="40" width="29" style="8" customWidth="1"/>
    <col min="41" max="41" width="27.26953125" style="8" customWidth="1"/>
    <col min="42" max="42" width="38.1796875" style="8" customWidth="1"/>
    <col min="43" max="43" width="48.26953125" style="8" customWidth="1"/>
    <col min="44" max="44" width="45" style="8" hidden="1" customWidth="1"/>
    <col min="45" max="45" width="0.26953125" style="8" customWidth="1"/>
    <col min="46" max="46" width="0.1796875" style="8" customWidth="1"/>
    <col min="47" max="48" width="45" style="8" customWidth="1"/>
    <col min="49" max="49" width="56.81640625" style="8" customWidth="1"/>
    <col min="50" max="50" width="33.1796875" style="8" customWidth="1"/>
    <col min="51" max="16384" width="11.453125" style="8"/>
  </cols>
  <sheetData>
    <row r="1" spans="1:50" ht="91.5" customHeight="1" x14ac:dyDescent="0.35">
      <c r="A1" s="25" t="s">
        <v>0</v>
      </c>
      <c r="B1" s="25" t="s">
        <v>1</v>
      </c>
      <c r="C1" s="25" t="s">
        <v>2</v>
      </c>
      <c r="D1" s="25" t="s">
        <v>3</v>
      </c>
      <c r="E1" s="26" t="s">
        <v>4</v>
      </c>
      <c r="F1" s="26" t="s">
        <v>117</v>
      </c>
      <c r="G1" s="25" t="s">
        <v>121</v>
      </c>
      <c r="H1" s="57" t="s">
        <v>134</v>
      </c>
      <c r="I1" s="27" t="s">
        <v>5</v>
      </c>
      <c r="J1" s="25" t="s">
        <v>6</v>
      </c>
      <c r="K1" s="25" t="s">
        <v>3</v>
      </c>
      <c r="L1" s="25" t="s">
        <v>7</v>
      </c>
      <c r="M1" s="25" t="s">
        <v>8</v>
      </c>
      <c r="N1" s="25" t="s">
        <v>9</v>
      </c>
      <c r="O1" s="25" t="s">
        <v>10</v>
      </c>
      <c r="P1" s="25" t="s">
        <v>26</v>
      </c>
      <c r="Q1" s="25" t="s">
        <v>27</v>
      </c>
      <c r="R1" s="25" t="s">
        <v>127</v>
      </c>
      <c r="S1" s="25" t="s">
        <v>128</v>
      </c>
      <c r="T1" s="25" t="s">
        <v>133</v>
      </c>
      <c r="U1" s="34" t="s">
        <v>132</v>
      </c>
      <c r="V1" s="34" t="s">
        <v>109</v>
      </c>
      <c r="W1" s="34" t="s">
        <v>137</v>
      </c>
      <c r="X1" s="34" t="s">
        <v>114</v>
      </c>
      <c r="Y1" s="25" t="s">
        <v>11</v>
      </c>
      <c r="Z1" s="25" t="s">
        <v>12</v>
      </c>
      <c r="AA1" s="25" t="s">
        <v>13</v>
      </c>
      <c r="AB1" s="25" t="s">
        <v>14</v>
      </c>
      <c r="AC1" s="25" t="s">
        <v>15</v>
      </c>
      <c r="AD1" s="75" t="s">
        <v>118</v>
      </c>
      <c r="AE1" s="75" t="s">
        <v>122</v>
      </c>
      <c r="AF1" s="55" t="s">
        <v>136</v>
      </c>
      <c r="AG1" s="25" t="s">
        <v>22</v>
      </c>
      <c r="AH1" s="25" t="s">
        <v>23</v>
      </c>
      <c r="AI1" s="25" t="s">
        <v>16</v>
      </c>
      <c r="AJ1" s="25" t="s">
        <v>24</v>
      </c>
      <c r="AK1" s="25" t="s">
        <v>25</v>
      </c>
      <c r="AL1" s="25" t="s">
        <v>17</v>
      </c>
      <c r="AM1" s="25" t="s">
        <v>18</v>
      </c>
      <c r="AN1" s="25" t="s">
        <v>19</v>
      </c>
      <c r="AO1" s="25" t="s">
        <v>20</v>
      </c>
      <c r="AP1" s="25" t="s">
        <v>21</v>
      </c>
      <c r="AQ1" s="25" t="s">
        <v>110</v>
      </c>
      <c r="AR1" s="25" t="s">
        <v>120</v>
      </c>
      <c r="AS1" s="25" t="s">
        <v>123</v>
      </c>
      <c r="AT1" s="25" t="s">
        <v>124</v>
      </c>
      <c r="AU1" s="25" t="s">
        <v>141</v>
      </c>
      <c r="AV1" s="25" t="s">
        <v>142</v>
      </c>
      <c r="AW1" s="25" t="s">
        <v>138</v>
      </c>
      <c r="AX1" s="36"/>
    </row>
    <row r="2" spans="1:50" ht="60" customHeight="1" x14ac:dyDescent="0.35">
      <c r="A2" s="195"/>
      <c r="B2" s="195" t="s">
        <v>28</v>
      </c>
      <c r="C2" s="146" t="s">
        <v>29</v>
      </c>
      <c r="D2" s="267">
        <v>0.72</v>
      </c>
      <c r="E2" s="146" t="s">
        <v>30</v>
      </c>
      <c r="F2" s="270">
        <v>0.38300000000000001</v>
      </c>
      <c r="G2" s="270">
        <f>X2/D2</f>
        <v>0.58434606481481477</v>
      </c>
      <c r="H2" s="177">
        <v>0.91</v>
      </c>
      <c r="I2" s="146" t="s">
        <v>31</v>
      </c>
      <c r="J2" s="200" t="s">
        <v>32</v>
      </c>
      <c r="K2" s="253">
        <v>1330.39</v>
      </c>
      <c r="L2" s="146" t="s">
        <v>33</v>
      </c>
      <c r="M2" s="247">
        <v>32</v>
      </c>
      <c r="N2" s="249" t="s">
        <v>34</v>
      </c>
      <c r="O2" s="216">
        <v>0.39</v>
      </c>
      <c r="P2" s="185">
        <v>0.14000000000000001</v>
      </c>
      <c r="Q2" s="216">
        <v>11.6</v>
      </c>
      <c r="R2" s="185">
        <f>0.02+0.11</f>
        <v>0.13</v>
      </c>
      <c r="S2" s="185">
        <v>8.1300000000000008</v>
      </c>
      <c r="T2" s="185">
        <v>0</v>
      </c>
      <c r="U2" s="185">
        <f>SUM(P2:Q2:S3)</f>
        <v>20</v>
      </c>
      <c r="V2" s="212">
        <v>1</v>
      </c>
      <c r="W2" s="182">
        <f>+(O2+U2)/32</f>
        <v>0.63718750000000002</v>
      </c>
      <c r="X2" s="202">
        <f>AVERAGE(W2:W6)</f>
        <v>0.42072916666666665</v>
      </c>
      <c r="Y2" s="162" t="s">
        <v>77</v>
      </c>
      <c r="Z2" s="217">
        <v>2020130010039</v>
      </c>
      <c r="AA2" s="162" t="s">
        <v>78</v>
      </c>
      <c r="AB2" s="10" t="s">
        <v>79</v>
      </c>
      <c r="AC2" s="11">
        <v>32</v>
      </c>
      <c r="AD2" s="64">
        <v>0.2</v>
      </c>
      <c r="AE2" s="64">
        <v>0.95</v>
      </c>
      <c r="AF2" s="124">
        <f>AE2</f>
        <v>0.95</v>
      </c>
      <c r="AG2" s="44">
        <v>180</v>
      </c>
      <c r="AH2" s="44">
        <v>30</v>
      </c>
      <c r="AI2" s="4" t="s">
        <v>88</v>
      </c>
      <c r="AJ2" s="185">
        <v>1057445</v>
      </c>
      <c r="AK2" s="185">
        <v>361520</v>
      </c>
      <c r="AL2" s="4" t="s">
        <v>89</v>
      </c>
      <c r="AM2" s="109" t="s">
        <v>153</v>
      </c>
      <c r="AN2" s="238" t="s">
        <v>90</v>
      </c>
      <c r="AO2" s="235" t="s">
        <v>91</v>
      </c>
      <c r="AP2" s="112" t="s">
        <v>154</v>
      </c>
      <c r="AQ2" s="110">
        <f>3200000000+1628611013</f>
        <v>4828611013</v>
      </c>
      <c r="AR2" s="245">
        <v>14747000719</v>
      </c>
      <c r="AS2" s="239">
        <f>89651039+140420000</f>
        <v>230071039</v>
      </c>
      <c r="AT2" s="239">
        <v>3100000000.02</v>
      </c>
      <c r="AU2" s="126">
        <v>3174385537</v>
      </c>
      <c r="AV2" s="113">
        <f>+AU2/AQ2</f>
        <v>0.65741173361317518</v>
      </c>
      <c r="AW2" s="229" t="s">
        <v>130</v>
      </c>
      <c r="AX2" s="37"/>
    </row>
    <row r="3" spans="1:50" ht="51.75" customHeight="1" x14ac:dyDescent="0.35">
      <c r="A3" s="195"/>
      <c r="B3" s="195"/>
      <c r="C3" s="147"/>
      <c r="D3" s="268"/>
      <c r="E3" s="147"/>
      <c r="F3" s="271"/>
      <c r="G3" s="271"/>
      <c r="H3" s="178"/>
      <c r="I3" s="147"/>
      <c r="J3" s="201"/>
      <c r="K3" s="254"/>
      <c r="L3" s="148"/>
      <c r="M3" s="248"/>
      <c r="N3" s="250"/>
      <c r="O3" s="216"/>
      <c r="P3" s="186"/>
      <c r="Q3" s="216"/>
      <c r="R3" s="186"/>
      <c r="S3" s="186"/>
      <c r="T3" s="186"/>
      <c r="U3" s="186"/>
      <c r="V3" s="214"/>
      <c r="W3" s="183"/>
      <c r="X3" s="211"/>
      <c r="Y3" s="163"/>
      <c r="Z3" s="218"/>
      <c r="AA3" s="163"/>
      <c r="AB3" s="10" t="s">
        <v>80</v>
      </c>
      <c r="AC3" s="11">
        <v>150</v>
      </c>
      <c r="AD3" s="64">
        <v>0.5</v>
      </c>
      <c r="AE3" s="64">
        <v>0.95</v>
      </c>
      <c r="AF3" s="124">
        <v>1</v>
      </c>
      <c r="AG3" s="44">
        <v>360</v>
      </c>
      <c r="AH3" s="44">
        <v>180</v>
      </c>
      <c r="AI3" s="4" t="s">
        <v>88</v>
      </c>
      <c r="AJ3" s="206"/>
      <c r="AK3" s="206"/>
      <c r="AL3" s="4" t="s">
        <v>89</v>
      </c>
      <c r="AM3" s="109" t="s">
        <v>156</v>
      </c>
      <c r="AN3" s="238"/>
      <c r="AO3" s="235"/>
      <c r="AP3" s="112" t="s">
        <v>160</v>
      </c>
      <c r="AQ3" s="110">
        <f>8092544595+4775537961.71</f>
        <v>12868082556.709999</v>
      </c>
      <c r="AR3" s="245"/>
      <c r="AS3" s="240"/>
      <c r="AT3" s="240"/>
      <c r="AU3" s="126">
        <f>7624210451.55+25700682.71</f>
        <v>7649911134.2600002</v>
      </c>
      <c r="AV3" s="113">
        <f>+AU3/AQ3</f>
        <v>0.59448725950790482</v>
      </c>
      <c r="AW3" s="230"/>
      <c r="AX3" s="37"/>
    </row>
    <row r="4" spans="1:50" ht="72.75" customHeight="1" x14ac:dyDescent="0.35">
      <c r="A4" s="195"/>
      <c r="B4" s="195"/>
      <c r="C4" s="147"/>
      <c r="D4" s="268"/>
      <c r="E4" s="147"/>
      <c r="F4" s="271"/>
      <c r="G4" s="271"/>
      <c r="H4" s="178"/>
      <c r="I4" s="147"/>
      <c r="J4" s="200" t="s">
        <v>35</v>
      </c>
      <c r="K4" s="185">
        <v>196</v>
      </c>
      <c r="L4" s="153" t="s">
        <v>36</v>
      </c>
      <c r="M4" s="207">
        <v>8</v>
      </c>
      <c r="N4" s="251" t="s">
        <v>37</v>
      </c>
      <c r="O4" s="216">
        <v>0</v>
      </c>
      <c r="P4" s="216">
        <v>1</v>
      </c>
      <c r="Q4" s="216">
        <v>1</v>
      </c>
      <c r="R4" s="185">
        <v>1</v>
      </c>
      <c r="S4" s="185">
        <v>0</v>
      </c>
      <c r="T4" s="185">
        <v>1</v>
      </c>
      <c r="U4" s="185">
        <f>SUM(P4:T5)</f>
        <v>4</v>
      </c>
      <c r="V4" s="227">
        <v>1</v>
      </c>
      <c r="W4" s="215">
        <f>+U4/M4</f>
        <v>0.5</v>
      </c>
      <c r="X4" s="211"/>
      <c r="Y4" s="163"/>
      <c r="Z4" s="218"/>
      <c r="AA4" s="163"/>
      <c r="AB4" s="10" t="s">
        <v>81</v>
      </c>
      <c r="AC4" s="11">
        <v>12</v>
      </c>
      <c r="AD4" s="64">
        <v>0.5</v>
      </c>
      <c r="AE4" s="64">
        <v>0.95</v>
      </c>
      <c r="AF4" s="124">
        <v>1</v>
      </c>
      <c r="AG4" s="44">
        <v>360</v>
      </c>
      <c r="AH4" s="44">
        <v>180</v>
      </c>
      <c r="AI4" s="4" t="s">
        <v>88</v>
      </c>
      <c r="AJ4" s="206"/>
      <c r="AK4" s="206"/>
      <c r="AL4" s="4" t="s">
        <v>89</v>
      </c>
      <c r="AM4" s="109" t="s">
        <v>157</v>
      </c>
      <c r="AN4" s="238"/>
      <c r="AO4" s="235"/>
      <c r="AP4" s="112" t="s">
        <v>139</v>
      </c>
      <c r="AQ4" s="110">
        <v>1323407475</v>
      </c>
      <c r="AR4" s="245"/>
      <c r="AS4" s="240"/>
      <c r="AT4" s="240"/>
      <c r="AU4" s="126">
        <v>1301999416</v>
      </c>
      <c r="AV4" s="120">
        <f>+AU4/AQ4</f>
        <v>0.98382353175086912</v>
      </c>
      <c r="AW4" s="230"/>
      <c r="AX4" s="37"/>
    </row>
    <row r="5" spans="1:50" ht="43.5" customHeight="1" x14ac:dyDescent="0.35">
      <c r="A5" s="195"/>
      <c r="B5" s="195"/>
      <c r="C5" s="147"/>
      <c r="D5" s="268"/>
      <c r="E5" s="147"/>
      <c r="F5" s="271"/>
      <c r="G5" s="271"/>
      <c r="H5" s="178"/>
      <c r="I5" s="147"/>
      <c r="J5" s="201"/>
      <c r="K5" s="186"/>
      <c r="L5" s="155"/>
      <c r="M5" s="208"/>
      <c r="N5" s="252"/>
      <c r="O5" s="216"/>
      <c r="P5" s="216"/>
      <c r="Q5" s="216"/>
      <c r="R5" s="186"/>
      <c r="S5" s="186"/>
      <c r="T5" s="186"/>
      <c r="U5" s="186"/>
      <c r="V5" s="228"/>
      <c r="W5" s="216"/>
      <c r="X5" s="211"/>
      <c r="Y5" s="163"/>
      <c r="Z5" s="218"/>
      <c r="AA5" s="163"/>
      <c r="AB5" s="2" t="s">
        <v>82</v>
      </c>
      <c r="AC5" s="11">
        <v>8</v>
      </c>
      <c r="AD5" s="64">
        <v>0</v>
      </c>
      <c r="AE5" s="64">
        <v>0.6</v>
      </c>
      <c r="AF5" s="124">
        <v>0.6</v>
      </c>
      <c r="AG5" s="44">
        <v>0</v>
      </c>
      <c r="AH5" s="44">
        <v>0</v>
      </c>
      <c r="AI5" s="4" t="s">
        <v>88</v>
      </c>
      <c r="AJ5" s="206"/>
      <c r="AK5" s="206"/>
      <c r="AL5" s="4" t="s">
        <v>89</v>
      </c>
      <c r="AM5" s="109" t="s">
        <v>161</v>
      </c>
      <c r="AN5" s="238"/>
      <c r="AO5" s="235"/>
      <c r="AP5" s="112" t="s">
        <v>162</v>
      </c>
      <c r="AQ5" s="110">
        <v>271388987</v>
      </c>
      <c r="AR5" s="245"/>
      <c r="AS5" s="240"/>
      <c r="AT5" s="240"/>
      <c r="AU5" s="126">
        <v>0</v>
      </c>
      <c r="AV5" s="120">
        <f>+AU5/AQ5</f>
        <v>0</v>
      </c>
      <c r="AW5" s="230"/>
      <c r="AX5" s="37"/>
    </row>
    <row r="6" spans="1:50" ht="72.5" x14ac:dyDescent="0.35">
      <c r="A6" s="195"/>
      <c r="B6" s="195"/>
      <c r="C6" s="147"/>
      <c r="D6" s="268"/>
      <c r="E6" s="147"/>
      <c r="F6" s="271"/>
      <c r="G6" s="271"/>
      <c r="H6" s="178"/>
      <c r="I6" s="147"/>
      <c r="J6" s="2" t="s">
        <v>39</v>
      </c>
      <c r="K6" s="3" t="s">
        <v>40</v>
      </c>
      <c r="L6" s="4" t="s">
        <v>41</v>
      </c>
      <c r="M6" s="5">
        <v>8</v>
      </c>
      <c r="N6" s="13" t="s">
        <v>42</v>
      </c>
      <c r="O6" s="3">
        <v>0</v>
      </c>
      <c r="P6" s="3">
        <v>1</v>
      </c>
      <c r="Q6" s="3">
        <v>0</v>
      </c>
      <c r="R6" s="54">
        <v>0</v>
      </c>
      <c r="S6" s="62">
        <v>0</v>
      </c>
      <c r="T6" s="73">
        <v>0</v>
      </c>
      <c r="U6" s="33">
        <f>SUM(P6:Q6)</f>
        <v>1</v>
      </c>
      <c r="V6" s="124">
        <f>+U6/3</f>
        <v>0.33333333333333331</v>
      </c>
      <c r="W6" s="35">
        <f>+(O6+U6)/8</f>
        <v>0.125</v>
      </c>
      <c r="X6" s="203"/>
      <c r="Y6" s="163"/>
      <c r="Z6" s="219"/>
      <c r="AA6" s="164"/>
      <c r="AB6" s="2" t="s">
        <v>83</v>
      </c>
      <c r="AC6" s="11">
        <v>8</v>
      </c>
      <c r="AD6" s="64">
        <v>0</v>
      </c>
      <c r="AE6" s="64">
        <v>1</v>
      </c>
      <c r="AF6" s="124">
        <v>1</v>
      </c>
      <c r="AG6" s="44">
        <v>0</v>
      </c>
      <c r="AH6" s="44">
        <v>0</v>
      </c>
      <c r="AI6" s="4" t="s">
        <v>88</v>
      </c>
      <c r="AJ6" s="186"/>
      <c r="AK6" s="186"/>
      <c r="AL6" s="4" t="s">
        <v>89</v>
      </c>
      <c r="AM6" s="109" t="s">
        <v>155</v>
      </c>
      <c r="AN6" s="238"/>
      <c r="AO6" s="235"/>
      <c r="AP6" s="112" t="s">
        <v>140</v>
      </c>
      <c r="AQ6" s="111">
        <v>597908164.32000005</v>
      </c>
      <c r="AR6" s="245"/>
      <c r="AS6" s="241"/>
      <c r="AT6" s="241"/>
      <c r="AU6" s="126">
        <v>534772746.31999999</v>
      </c>
      <c r="AV6" s="120">
        <f>+AU6/AQ6</f>
        <v>0.89440616173588483</v>
      </c>
      <c r="AW6" s="231"/>
      <c r="AX6" s="37"/>
    </row>
    <row r="7" spans="1:50" ht="61.5" customHeight="1" x14ac:dyDescent="0.35">
      <c r="A7" s="195"/>
      <c r="B7" s="195"/>
      <c r="C7" s="148"/>
      <c r="D7" s="269"/>
      <c r="E7" s="148"/>
      <c r="F7" s="272"/>
      <c r="G7" s="272"/>
      <c r="H7" s="179"/>
      <c r="I7" s="148"/>
      <c r="J7" s="149" t="s">
        <v>167</v>
      </c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  <c r="V7" s="133">
        <f>AVERAGE(V2:V6)</f>
        <v>0.77777777777777779</v>
      </c>
      <c r="W7" s="133">
        <f>AVERAGE(W2:W6)</f>
        <v>0.42072916666666665</v>
      </c>
      <c r="X7" s="90"/>
      <c r="Y7" s="164"/>
      <c r="Z7" s="165" t="s">
        <v>173</v>
      </c>
      <c r="AA7" s="166"/>
      <c r="AB7" s="166"/>
      <c r="AC7" s="166"/>
      <c r="AD7" s="166"/>
      <c r="AE7" s="167"/>
      <c r="AF7" s="139">
        <f>AVERAGE(AF2:AF6)</f>
        <v>0.91000000000000014</v>
      </c>
      <c r="AG7" s="91"/>
      <c r="AH7" s="91"/>
      <c r="AI7" s="98"/>
      <c r="AJ7" s="82"/>
      <c r="AK7" s="82"/>
      <c r="AL7" s="98" t="s">
        <v>89</v>
      </c>
      <c r="AM7" s="84" t="s">
        <v>158</v>
      </c>
      <c r="AN7" s="86"/>
      <c r="AO7" s="84"/>
      <c r="AP7" s="112" t="s">
        <v>159</v>
      </c>
      <c r="AQ7" s="87">
        <v>100000000</v>
      </c>
      <c r="AR7" s="93"/>
      <c r="AS7" s="88"/>
      <c r="AT7" s="88"/>
      <c r="AU7" s="88"/>
      <c r="AV7" s="89"/>
      <c r="AW7" s="80"/>
      <c r="AX7" s="37"/>
    </row>
    <row r="8" spans="1:50" ht="90" customHeight="1" x14ac:dyDescent="0.35">
      <c r="A8" s="195"/>
      <c r="B8" s="195"/>
      <c r="C8" s="146" t="s">
        <v>38</v>
      </c>
      <c r="D8" s="267">
        <v>0.05</v>
      </c>
      <c r="E8" s="146" t="s">
        <v>43</v>
      </c>
      <c r="F8" s="270">
        <v>3.7999999999999999E-2</v>
      </c>
      <c r="G8" s="270">
        <f>4%</f>
        <v>0.04</v>
      </c>
      <c r="H8" s="177">
        <v>7.0000000000000007E-2</v>
      </c>
      <c r="I8" s="146" t="s">
        <v>44</v>
      </c>
      <c r="J8" s="4" t="s">
        <v>45</v>
      </c>
      <c r="K8" s="4" t="s">
        <v>46</v>
      </c>
      <c r="L8" s="4" t="s">
        <v>47</v>
      </c>
      <c r="M8" s="5">
        <v>520.21199999999999</v>
      </c>
      <c r="N8" s="13" t="s">
        <v>48</v>
      </c>
      <c r="O8" s="6">
        <f>2942+3985.1</f>
        <v>6927.1</v>
      </c>
      <c r="P8" s="16">
        <v>11591</v>
      </c>
      <c r="Q8" s="28">
        <v>8340</v>
      </c>
      <c r="R8" s="60">
        <v>7411.81</v>
      </c>
      <c r="S8" s="60">
        <v>2546</v>
      </c>
      <c r="T8" s="60">
        <v>0</v>
      </c>
      <c r="U8" s="60">
        <f>SUM(P8:Q8:R8)</f>
        <v>27342.81</v>
      </c>
      <c r="V8" s="134">
        <f>+U8/257164</f>
        <v>0.10632440777091662</v>
      </c>
      <c r="W8" s="35">
        <f>+(O8+U8)/520212</f>
        <v>6.5876815605945271E-2</v>
      </c>
      <c r="X8" s="182">
        <f>AVERAGE(W8:W10)</f>
        <v>0.52897015383471868</v>
      </c>
      <c r="Y8" s="153" t="s">
        <v>84</v>
      </c>
      <c r="Z8" s="192">
        <v>2020130010050</v>
      </c>
      <c r="AA8" s="153" t="s">
        <v>85</v>
      </c>
      <c r="AB8" s="4" t="s">
        <v>86</v>
      </c>
      <c r="AC8" s="5">
        <v>520.21199999999999</v>
      </c>
      <c r="AD8" s="64">
        <v>0.2</v>
      </c>
      <c r="AE8" s="64">
        <v>0.8</v>
      </c>
      <c r="AF8" s="124">
        <v>0.8</v>
      </c>
      <c r="AG8" s="12">
        <v>180</v>
      </c>
      <c r="AH8" s="5">
        <v>30</v>
      </c>
      <c r="AI8" s="4" t="s">
        <v>88</v>
      </c>
      <c r="AJ8" s="185">
        <v>1057445</v>
      </c>
      <c r="AK8" s="185">
        <v>275992</v>
      </c>
      <c r="AL8" s="4" t="s">
        <v>89</v>
      </c>
      <c r="AM8" s="236" t="s">
        <v>92</v>
      </c>
      <c r="AN8" s="237" t="s">
        <v>93</v>
      </c>
      <c r="AO8" s="236" t="s">
        <v>94</v>
      </c>
      <c r="AP8" s="114" t="s">
        <v>143</v>
      </c>
      <c r="AQ8" s="116">
        <v>3172317774</v>
      </c>
      <c r="AR8" s="246">
        <v>4640289499</v>
      </c>
      <c r="AS8" s="242">
        <f>18188641+38261232.9+300944360</f>
        <v>357394233.89999998</v>
      </c>
      <c r="AT8" s="242">
        <v>0</v>
      </c>
      <c r="AU8" s="70">
        <v>3155562309.9400001</v>
      </c>
      <c r="AV8" s="117">
        <f>+AU8/AQ8</f>
        <v>0.99471822646604757</v>
      </c>
      <c r="AW8" s="232" t="s">
        <v>125</v>
      </c>
      <c r="AX8" s="38"/>
    </row>
    <row r="9" spans="1:50" ht="72.5" x14ac:dyDescent="0.35">
      <c r="A9" s="195"/>
      <c r="B9" s="195"/>
      <c r="C9" s="147"/>
      <c r="D9" s="268"/>
      <c r="E9" s="147"/>
      <c r="F9" s="271"/>
      <c r="G9" s="271"/>
      <c r="H9" s="178"/>
      <c r="I9" s="147"/>
      <c r="J9" s="196" t="s">
        <v>50</v>
      </c>
      <c r="K9" s="196" t="s">
        <v>51</v>
      </c>
      <c r="L9" s="196" t="s">
        <v>52</v>
      </c>
      <c r="M9" s="207">
        <v>6.3</v>
      </c>
      <c r="N9" s="171" t="s">
        <v>53</v>
      </c>
      <c r="O9" s="196">
        <v>6.25</v>
      </c>
      <c r="P9" s="185">
        <v>0</v>
      </c>
      <c r="Q9" s="185">
        <v>0</v>
      </c>
      <c r="R9" s="185">
        <v>5.4539999999999998E-2</v>
      </c>
      <c r="S9" s="185">
        <v>0</v>
      </c>
      <c r="T9" s="185">
        <v>0</v>
      </c>
      <c r="U9" s="185">
        <f>SUM(P9:R10)</f>
        <v>5.4539999999999998E-2</v>
      </c>
      <c r="V9" s="209">
        <f>U9/1.6</f>
        <v>3.40875E-2</v>
      </c>
      <c r="W9" s="212">
        <f>+O9/M9</f>
        <v>0.99206349206349209</v>
      </c>
      <c r="X9" s="257"/>
      <c r="Y9" s="154"/>
      <c r="Z9" s="193"/>
      <c r="AA9" s="154"/>
      <c r="AB9" s="4" t="s">
        <v>87</v>
      </c>
      <c r="AC9" s="5">
        <v>6.3</v>
      </c>
      <c r="AD9" s="64">
        <v>0</v>
      </c>
      <c r="AE9" s="64">
        <v>1</v>
      </c>
      <c r="AF9" s="124">
        <v>1</v>
      </c>
      <c r="AG9" s="12">
        <v>0</v>
      </c>
      <c r="AH9" s="12">
        <v>0</v>
      </c>
      <c r="AI9" s="4" t="s">
        <v>88</v>
      </c>
      <c r="AJ9" s="206"/>
      <c r="AK9" s="206"/>
      <c r="AL9" s="4" t="s">
        <v>89</v>
      </c>
      <c r="AM9" s="236"/>
      <c r="AN9" s="237"/>
      <c r="AO9" s="236"/>
      <c r="AP9" s="115"/>
      <c r="AQ9" s="116"/>
      <c r="AR9" s="246"/>
      <c r="AS9" s="243"/>
      <c r="AT9" s="243"/>
      <c r="AU9" s="71"/>
      <c r="AV9" s="118"/>
      <c r="AW9" s="233"/>
      <c r="AX9" s="38"/>
    </row>
    <row r="10" spans="1:50" ht="39.75" customHeight="1" x14ac:dyDescent="0.35">
      <c r="A10" s="195"/>
      <c r="B10" s="195"/>
      <c r="C10" s="147"/>
      <c r="D10" s="268"/>
      <c r="E10" s="147"/>
      <c r="F10" s="271"/>
      <c r="G10" s="271"/>
      <c r="H10" s="178"/>
      <c r="I10" s="147"/>
      <c r="J10" s="197"/>
      <c r="K10" s="197"/>
      <c r="L10" s="197"/>
      <c r="M10" s="208"/>
      <c r="N10" s="173"/>
      <c r="O10" s="197"/>
      <c r="P10" s="186"/>
      <c r="Q10" s="186"/>
      <c r="R10" s="186"/>
      <c r="S10" s="186"/>
      <c r="T10" s="186"/>
      <c r="U10" s="186"/>
      <c r="V10" s="210"/>
      <c r="W10" s="214"/>
      <c r="X10" s="183"/>
      <c r="Y10" s="154"/>
      <c r="Z10" s="194"/>
      <c r="AA10" s="155"/>
      <c r="AB10" s="4" t="s">
        <v>80</v>
      </c>
      <c r="AC10" s="5">
        <v>150</v>
      </c>
      <c r="AD10" s="64">
        <v>0.5</v>
      </c>
      <c r="AE10" s="64">
        <v>0.9</v>
      </c>
      <c r="AF10" s="124">
        <v>1</v>
      </c>
      <c r="AG10" s="12">
        <v>360</v>
      </c>
      <c r="AH10" s="12">
        <v>180</v>
      </c>
      <c r="AI10" s="4" t="s">
        <v>88</v>
      </c>
      <c r="AJ10" s="206"/>
      <c r="AK10" s="206"/>
      <c r="AL10" s="4" t="s">
        <v>89</v>
      </c>
      <c r="AM10" s="236"/>
      <c r="AN10" s="237"/>
      <c r="AO10" s="236"/>
      <c r="AP10" s="115" t="s">
        <v>144</v>
      </c>
      <c r="AQ10" s="116">
        <v>1000000000</v>
      </c>
      <c r="AR10" s="246"/>
      <c r="AS10" s="243"/>
      <c r="AT10" s="243"/>
      <c r="AU10" s="71">
        <v>978887783</v>
      </c>
      <c r="AV10" s="121">
        <f>+AU10/AQ10</f>
        <v>0.97888778300000001</v>
      </c>
      <c r="AW10" s="233"/>
      <c r="AX10" s="38"/>
    </row>
    <row r="11" spans="1:50" ht="30" customHeight="1" x14ac:dyDescent="0.35">
      <c r="A11" s="195"/>
      <c r="B11" s="195"/>
      <c r="C11" s="147"/>
      <c r="D11" s="268"/>
      <c r="E11" s="147"/>
      <c r="F11" s="271"/>
      <c r="G11" s="271"/>
      <c r="H11" s="178"/>
      <c r="I11" s="147"/>
      <c r="J11" s="156" t="s">
        <v>168</v>
      </c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8"/>
      <c r="V11" s="180">
        <f>AVERAGE(V8:V10)</f>
        <v>7.0205953885458305E-2</v>
      </c>
      <c r="W11" s="180">
        <f>AVERAGE(W8:W10)</f>
        <v>0.52897015383471868</v>
      </c>
      <c r="X11" s="182"/>
      <c r="Y11" s="154"/>
      <c r="Z11" s="156" t="s">
        <v>174</v>
      </c>
      <c r="AA11" s="157"/>
      <c r="AB11" s="157"/>
      <c r="AC11" s="157"/>
      <c r="AD11" s="157"/>
      <c r="AE11" s="158"/>
      <c r="AF11" s="190">
        <f>AVERAGE(AF8:AF10)</f>
        <v>0.93333333333333324</v>
      </c>
      <c r="AG11" s="185"/>
      <c r="AH11" s="185"/>
      <c r="AI11" s="153"/>
      <c r="AJ11" s="206"/>
      <c r="AK11" s="206"/>
      <c r="AL11" s="98"/>
      <c r="AM11" s="236"/>
      <c r="AN11" s="237"/>
      <c r="AO11" s="236"/>
      <c r="AP11" s="115"/>
      <c r="AQ11" s="116"/>
      <c r="AR11" s="246"/>
      <c r="AS11" s="243"/>
      <c r="AT11" s="243"/>
      <c r="AU11" s="94"/>
      <c r="AV11" s="121"/>
      <c r="AW11" s="233"/>
      <c r="AX11" s="38"/>
    </row>
    <row r="12" spans="1:50" ht="54.75" customHeight="1" x14ac:dyDescent="0.35">
      <c r="A12" s="195"/>
      <c r="B12" s="195"/>
      <c r="C12" s="148"/>
      <c r="D12" s="269"/>
      <c r="E12" s="148"/>
      <c r="F12" s="272"/>
      <c r="G12" s="272"/>
      <c r="H12" s="179"/>
      <c r="I12" s="148"/>
      <c r="J12" s="159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1"/>
      <c r="V12" s="181"/>
      <c r="W12" s="181"/>
      <c r="X12" s="183"/>
      <c r="Y12" s="155"/>
      <c r="Z12" s="159"/>
      <c r="AA12" s="160"/>
      <c r="AB12" s="160"/>
      <c r="AC12" s="160"/>
      <c r="AD12" s="160"/>
      <c r="AE12" s="161"/>
      <c r="AF12" s="191"/>
      <c r="AG12" s="186"/>
      <c r="AH12" s="186"/>
      <c r="AI12" s="155"/>
      <c r="AJ12" s="206"/>
      <c r="AK12" s="206"/>
      <c r="AL12" s="98"/>
      <c r="AM12" s="236"/>
      <c r="AN12" s="237"/>
      <c r="AO12" s="236"/>
      <c r="AP12" s="115" t="s">
        <v>145</v>
      </c>
      <c r="AQ12" s="116">
        <v>1500000000</v>
      </c>
      <c r="AR12" s="246"/>
      <c r="AS12" s="243"/>
      <c r="AT12" s="243"/>
      <c r="AU12" s="94">
        <v>0</v>
      </c>
      <c r="AV12" s="121">
        <f>+AU12/AQ12</f>
        <v>0</v>
      </c>
      <c r="AW12" s="233"/>
      <c r="AX12" s="38"/>
    </row>
    <row r="13" spans="1:50" ht="180" customHeight="1" x14ac:dyDescent="0.35">
      <c r="A13" s="195"/>
      <c r="B13" s="195"/>
      <c r="C13" s="146" t="s">
        <v>49</v>
      </c>
      <c r="D13" s="264">
        <v>0.39</v>
      </c>
      <c r="E13" s="265" t="s">
        <v>54</v>
      </c>
      <c r="F13" s="258">
        <f>W13</f>
        <v>0.54999999999999993</v>
      </c>
      <c r="G13" s="258">
        <v>0.25</v>
      </c>
      <c r="H13" s="198">
        <f>G13</f>
        <v>0.25</v>
      </c>
      <c r="I13" s="146" t="s">
        <v>55</v>
      </c>
      <c r="J13" s="196" t="s">
        <v>56</v>
      </c>
      <c r="K13" s="196" t="s">
        <v>57</v>
      </c>
      <c r="L13" s="196" t="s">
        <v>58</v>
      </c>
      <c r="M13" s="255">
        <v>0.2</v>
      </c>
      <c r="N13" s="171" t="s">
        <v>59</v>
      </c>
      <c r="O13" s="185">
        <v>0</v>
      </c>
      <c r="P13" s="185">
        <v>0</v>
      </c>
      <c r="Q13" s="185">
        <v>0</v>
      </c>
      <c r="R13" s="182">
        <v>0.01</v>
      </c>
      <c r="S13" s="185">
        <v>0</v>
      </c>
      <c r="T13" s="182">
        <v>0.1</v>
      </c>
      <c r="U13" s="182">
        <f>R13+S13+T13</f>
        <v>0.11</v>
      </c>
      <c r="V13" s="212">
        <v>1</v>
      </c>
      <c r="W13" s="202">
        <f>U13/20%</f>
        <v>0.54999999999999993</v>
      </c>
      <c r="X13" s="9">
        <f>W13</f>
        <v>0.54999999999999993</v>
      </c>
      <c r="Y13" s="4"/>
      <c r="Z13" s="11"/>
      <c r="AA13" s="4"/>
      <c r="AB13" s="4" t="s">
        <v>81</v>
      </c>
      <c r="AC13" s="11">
        <v>12</v>
      </c>
      <c r="AD13" s="64">
        <v>0.5</v>
      </c>
      <c r="AE13" s="64">
        <v>0.9</v>
      </c>
      <c r="AF13" s="124">
        <v>1</v>
      </c>
      <c r="AG13" s="12">
        <v>360</v>
      </c>
      <c r="AH13" s="12">
        <v>180</v>
      </c>
      <c r="AI13" s="4" t="s">
        <v>88</v>
      </c>
      <c r="AJ13" s="206"/>
      <c r="AK13" s="206"/>
      <c r="AL13" s="4" t="s">
        <v>89</v>
      </c>
      <c r="AM13" s="236"/>
      <c r="AN13" s="237"/>
      <c r="AO13" s="236"/>
      <c r="AP13" s="115"/>
      <c r="AQ13" s="116"/>
      <c r="AR13" s="246"/>
      <c r="AS13" s="244"/>
      <c r="AT13" s="244"/>
      <c r="AU13" s="94"/>
      <c r="AV13" s="121"/>
      <c r="AW13" s="234"/>
      <c r="AX13" s="38"/>
    </row>
    <row r="14" spans="1:50" ht="62.5" x14ac:dyDescent="0.35">
      <c r="A14" s="195"/>
      <c r="B14" s="195"/>
      <c r="C14" s="148"/>
      <c r="D14" s="264"/>
      <c r="E14" s="266"/>
      <c r="F14" s="260"/>
      <c r="G14" s="260"/>
      <c r="H14" s="199"/>
      <c r="I14" s="147"/>
      <c r="J14" s="197"/>
      <c r="K14" s="197"/>
      <c r="L14" s="197"/>
      <c r="M14" s="256"/>
      <c r="N14" s="173"/>
      <c r="O14" s="186"/>
      <c r="P14" s="186"/>
      <c r="Q14" s="186"/>
      <c r="R14" s="183"/>
      <c r="S14" s="186"/>
      <c r="T14" s="183"/>
      <c r="U14" s="183"/>
      <c r="V14" s="214"/>
      <c r="W14" s="203"/>
      <c r="X14" s="33"/>
      <c r="Y14" s="4"/>
      <c r="Z14" s="11"/>
      <c r="AA14" s="4"/>
      <c r="AB14" s="4"/>
      <c r="AC14" s="11"/>
      <c r="AD14" s="64"/>
      <c r="AE14" s="64"/>
      <c r="AF14" s="124"/>
      <c r="AG14" s="12"/>
      <c r="AH14" s="12"/>
      <c r="AI14" s="4" t="s">
        <v>88</v>
      </c>
      <c r="AJ14" s="186"/>
      <c r="AK14" s="186"/>
      <c r="AL14" s="4" t="s">
        <v>89</v>
      </c>
      <c r="AM14" s="6" t="s">
        <v>95</v>
      </c>
      <c r="AN14" s="19" t="s">
        <v>96</v>
      </c>
      <c r="AO14" s="20" t="s">
        <v>97</v>
      </c>
      <c r="AP14" s="20" t="s">
        <v>146</v>
      </c>
      <c r="AQ14" s="45">
        <v>267692143</v>
      </c>
      <c r="AR14" s="45">
        <v>41500000</v>
      </c>
      <c r="AS14" s="53">
        <f>236455497</f>
        <v>236455497</v>
      </c>
      <c r="AT14" s="63">
        <v>0</v>
      </c>
      <c r="AU14" s="72">
        <v>220564000</v>
      </c>
      <c r="AV14" s="48">
        <f>(AS14*100%)/AQ14</f>
        <v>0.88331130809468694</v>
      </c>
      <c r="AW14" s="42" t="s">
        <v>126</v>
      </c>
      <c r="AX14" s="37"/>
    </row>
    <row r="15" spans="1:50" ht="54.75" customHeight="1" x14ac:dyDescent="0.35">
      <c r="A15" s="195"/>
      <c r="B15" s="96"/>
      <c r="C15" s="78"/>
      <c r="D15" s="97"/>
      <c r="E15" s="101"/>
      <c r="F15" s="76"/>
      <c r="G15" s="76"/>
      <c r="H15" s="68"/>
      <c r="I15" s="148"/>
      <c r="J15" s="149" t="s">
        <v>169</v>
      </c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1"/>
      <c r="V15" s="135">
        <f>AVERAGE(V13)</f>
        <v>1</v>
      </c>
      <c r="W15" s="135">
        <f>AVERAGE(W13)</f>
        <v>0.54999999999999993</v>
      </c>
      <c r="X15" s="81"/>
      <c r="Y15" s="102"/>
      <c r="Z15" s="108"/>
      <c r="AA15" s="102"/>
      <c r="AB15" s="102"/>
      <c r="AC15" s="108"/>
      <c r="AD15" s="64"/>
      <c r="AE15" s="64"/>
      <c r="AF15" s="132"/>
      <c r="AG15" s="81"/>
      <c r="AH15" s="81"/>
      <c r="AI15" s="102"/>
      <c r="AJ15" s="82"/>
      <c r="AK15" s="82"/>
      <c r="AL15" s="98"/>
      <c r="AM15" s="85"/>
      <c r="AN15" s="86"/>
      <c r="AO15" s="84"/>
      <c r="AP15" s="84" t="s">
        <v>147</v>
      </c>
      <c r="AQ15" s="93">
        <v>794480189</v>
      </c>
      <c r="AR15" s="93"/>
      <c r="AS15" s="93"/>
      <c r="AT15" s="93"/>
      <c r="AU15" s="93">
        <v>226635980</v>
      </c>
      <c r="AV15" s="48">
        <f>+AU15/AQ15</f>
        <v>0.28526322385113623</v>
      </c>
      <c r="AW15" s="84"/>
      <c r="AX15" s="37"/>
    </row>
    <row r="16" spans="1:50" ht="75" customHeight="1" x14ac:dyDescent="0.35">
      <c r="A16" s="195"/>
      <c r="B16" s="261" t="s">
        <v>60</v>
      </c>
      <c r="C16" s="262" t="s">
        <v>61</v>
      </c>
      <c r="D16" s="263">
        <v>0.6</v>
      </c>
      <c r="E16" s="195" t="s">
        <v>62</v>
      </c>
      <c r="F16" s="258">
        <f>W16</f>
        <v>0.17</v>
      </c>
      <c r="G16" s="258">
        <v>0</v>
      </c>
      <c r="H16" s="67"/>
      <c r="I16" s="195" t="s">
        <v>63</v>
      </c>
      <c r="J16" s="2" t="s">
        <v>64</v>
      </c>
      <c r="K16" s="4" t="s">
        <v>65</v>
      </c>
      <c r="L16" s="2" t="s">
        <v>66</v>
      </c>
      <c r="M16" s="3">
        <v>14.2</v>
      </c>
      <c r="N16" s="14">
        <v>4.7300000000000004</v>
      </c>
      <c r="O16" s="3">
        <v>0</v>
      </c>
      <c r="P16" s="3">
        <v>0</v>
      </c>
      <c r="Q16" s="3">
        <v>0</v>
      </c>
      <c r="R16" s="54">
        <v>0</v>
      </c>
      <c r="S16" s="62">
        <v>2.4</v>
      </c>
      <c r="T16" s="73">
        <v>0</v>
      </c>
      <c r="U16" s="33">
        <v>2.4</v>
      </c>
      <c r="V16" s="125">
        <f>(U16/N16)</f>
        <v>0.507399577167019</v>
      </c>
      <c r="W16" s="9">
        <v>0.17</v>
      </c>
      <c r="X16" s="202">
        <f>AVERAGE(W16:W20)</f>
        <v>0.38999999999999996</v>
      </c>
      <c r="Y16" s="171" t="s">
        <v>107</v>
      </c>
      <c r="Z16" s="220">
        <v>2021130010035</v>
      </c>
      <c r="AA16" s="171" t="s">
        <v>108</v>
      </c>
      <c r="AB16" s="223" t="s">
        <v>116</v>
      </c>
      <c r="AC16" s="207"/>
      <c r="AD16" s="204">
        <v>0</v>
      </c>
      <c r="AE16" s="204">
        <v>0</v>
      </c>
      <c r="AF16" s="212">
        <v>0.1</v>
      </c>
      <c r="AG16" s="185">
        <v>0</v>
      </c>
      <c r="AH16" s="185">
        <v>0</v>
      </c>
      <c r="AI16" s="153" t="s">
        <v>88</v>
      </c>
      <c r="AJ16" s="185">
        <v>286320</v>
      </c>
      <c r="AK16" s="185"/>
      <c r="AL16" s="4" t="s">
        <v>89</v>
      </c>
      <c r="AM16" s="4" t="s">
        <v>112</v>
      </c>
      <c r="AN16" s="21"/>
      <c r="AO16" s="32" t="s">
        <v>97</v>
      </c>
      <c r="AP16" s="4" t="s">
        <v>111</v>
      </c>
      <c r="AQ16" s="45">
        <f>106911+14999983683</f>
        <v>15000090594</v>
      </c>
      <c r="AR16" s="47"/>
      <c r="AS16" s="46">
        <v>14999983683</v>
      </c>
      <c r="AT16" s="46">
        <v>0</v>
      </c>
      <c r="AU16" s="46">
        <f>AS16</f>
        <v>14999983683</v>
      </c>
      <c r="AV16" s="49">
        <f>(AU16*100%)/AQ16</f>
        <v>0.99999287264304637</v>
      </c>
      <c r="AW16" s="41" t="s">
        <v>131</v>
      </c>
      <c r="AX16" s="39"/>
    </row>
    <row r="17" spans="1:50" ht="104.25" customHeight="1" x14ac:dyDescent="0.35">
      <c r="A17" s="195"/>
      <c r="B17" s="261"/>
      <c r="C17" s="262"/>
      <c r="D17" s="263"/>
      <c r="E17" s="195"/>
      <c r="F17" s="259"/>
      <c r="G17" s="259"/>
      <c r="H17" s="68"/>
      <c r="I17" s="195"/>
      <c r="J17" s="22" t="s">
        <v>67</v>
      </c>
      <c r="K17" s="8">
        <v>0</v>
      </c>
      <c r="L17" s="23" t="s">
        <v>68</v>
      </c>
      <c r="M17" s="7">
        <v>3.5</v>
      </c>
      <c r="N17" s="129">
        <v>1.17</v>
      </c>
      <c r="O17" s="3">
        <v>0</v>
      </c>
      <c r="P17" s="3">
        <v>0</v>
      </c>
      <c r="Q17" s="3">
        <v>0</v>
      </c>
      <c r="R17" s="54">
        <v>3.5</v>
      </c>
      <c r="S17" s="62">
        <v>0</v>
      </c>
      <c r="T17" s="73">
        <v>0</v>
      </c>
      <c r="U17" s="33">
        <f>SUM(P17:T17)</f>
        <v>3.5</v>
      </c>
      <c r="V17" s="125">
        <v>1</v>
      </c>
      <c r="W17" s="9">
        <v>1</v>
      </c>
      <c r="X17" s="211"/>
      <c r="Y17" s="172"/>
      <c r="Z17" s="221"/>
      <c r="AA17" s="172"/>
      <c r="AB17" s="224"/>
      <c r="AC17" s="226"/>
      <c r="AD17" s="204"/>
      <c r="AE17" s="204"/>
      <c r="AF17" s="213"/>
      <c r="AG17" s="206"/>
      <c r="AH17" s="206"/>
      <c r="AI17" s="154"/>
      <c r="AJ17" s="206"/>
      <c r="AK17" s="206"/>
      <c r="AL17" s="4" t="s">
        <v>89</v>
      </c>
      <c r="AM17" s="4" t="s">
        <v>113</v>
      </c>
      <c r="AN17" s="21"/>
      <c r="AO17" s="32" t="s">
        <v>97</v>
      </c>
      <c r="AP17" s="4" t="s">
        <v>150</v>
      </c>
      <c r="AQ17" s="45">
        <v>1860968</v>
      </c>
      <c r="AR17" s="47">
        <v>0</v>
      </c>
      <c r="AS17" s="46"/>
      <c r="AT17" s="46">
        <v>0</v>
      </c>
      <c r="AU17" s="46">
        <v>0</v>
      </c>
      <c r="AV17" s="49">
        <f>(AR17*100%)/AQ17</f>
        <v>0</v>
      </c>
      <c r="AW17" s="41"/>
      <c r="AX17" s="39"/>
    </row>
    <row r="18" spans="1:50" ht="104.25" customHeight="1" x14ac:dyDescent="0.35">
      <c r="A18" s="195"/>
      <c r="B18" s="261"/>
      <c r="C18" s="262"/>
      <c r="D18" s="263"/>
      <c r="E18" s="195"/>
      <c r="F18" s="259"/>
      <c r="G18" s="259"/>
      <c r="H18" s="68"/>
      <c r="I18" s="195"/>
      <c r="J18" s="22"/>
      <c r="L18" s="136"/>
      <c r="M18" s="95"/>
      <c r="N18" s="129"/>
      <c r="O18" s="91"/>
      <c r="P18" s="91"/>
      <c r="Q18" s="91"/>
      <c r="R18" s="91"/>
      <c r="S18" s="91"/>
      <c r="T18" s="91"/>
      <c r="U18" s="91"/>
      <c r="V18" s="125"/>
      <c r="W18" s="92"/>
      <c r="X18" s="211"/>
      <c r="Y18" s="172"/>
      <c r="Z18" s="221"/>
      <c r="AA18" s="172"/>
      <c r="AB18" s="224"/>
      <c r="AC18" s="226"/>
      <c r="AD18" s="204"/>
      <c r="AE18" s="204"/>
      <c r="AF18" s="213"/>
      <c r="AG18" s="206"/>
      <c r="AH18" s="206"/>
      <c r="AI18" s="154"/>
      <c r="AJ18" s="206"/>
      <c r="AK18" s="206"/>
      <c r="AL18" s="98"/>
      <c r="AM18" s="98"/>
      <c r="AN18" s="21"/>
      <c r="AO18" s="84" t="s">
        <v>97</v>
      </c>
      <c r="AP18" s="98" t="s">
        <v>151</v>
      </c>
      <c r="AQ18" s="93">
        <v>6287</v>
      </c>
      <c r="AR18" s="47"/>
      <c r="AS18" s="46"/>
      <c r="AT18" s="46"/>
      <c r="AU18" s="46">
        <v>0</v>
      </c>
      <c r="AV18" s="49">
        <f>(AR18*100%)/AQ18</f>
        <v>0</v>
      </c>
      <c r="AW18" s="98"/>
      <c r="AX18" s="39"/>
    </row>
    <row r="19" spans="1:50" ht="104.25" customHeight="1" x14ac:dyDescent="0.35">
      <c r="A19" s="195"/>
      <c r="B19" s="261"/>
      <c r="C19" s="262"/>
      <c r="D19" s="263"/>
      <c r="E19" s="195"/>
      <c r="F19" s="259"/>
      <c r="G19" s="259"/>
      <c r="H19" s="68"/>
      <c r="I19" s="195"/>
      <c r="J19" s="22"/>
      <c r="L19" s="136"/>
      <c r="M19" s="95"/>
      <c r="N19" s="129"/>
      <c r="O19" s="91"/>
      <c r="P19" s="91"/>
      <c r="Q19" s="91"/>
      <c r="R19" s="91"/>
      <c r="S19" s="91"/>
      <c r="T19" s="91"/>
      <c r="U19" s="91"/>
      <c r="V19" s="125"/>
      <c r="W19" s="92"/>
      <c r="X19" s="211"/>
      <c r="Y19" s="172"/>
      <c r="Z19" s="221"/>
      <c r="AA19" s="172"/>
      <c r="AB19" s="224"/>
      <c r="AC19" s="226"/>
      <c r="AD19" s="204"/>
      <c r="AE19" s="204"/>
      <c r="AF19" s="213"/>
      <c r="AG19" s="206"/>
      <c r="AH19" s="206"/>
      <c r="AI19" s="154"/>
      <c r="AJ19" s="206"/>
      <c r="AK19" s="206"/>
      <c r="AL19" s="98"/>
      <c r="AM19" s="98"/>
      <c r="AN19" s="21"/>
      <c r="AO19" s="84" t="s">
        <v>97</v>
      </c>
      <c r="AP19" s="98" t="s">
        <v>152</v>
      </c>
      <c r="AQ19" s="93">
        <v>132669</v>
      </c>
      <c r="AR19" s="47"/>
      <c r="AS19" s="46"/>
      <c r="AT19" s="46"/>
      <c r="AU19" s="46">
        <v>0</v>
      </c>
      <c r="AV19" s="49">
        <f>(AR19*100%)/AQ19</f>
        <v>0</v>
      </c>
      <c r="AW19" s="98"/>
      <c r="AX19" s="39"/>
    </row>
    <row r="20" spans="1:50" ht="58" x14ac:dyDescent="0.35">
      <c r="A20" s="195"/>
      <c r="B20" s="261"/>
      <c r="C20" s="262"/>
      <c r="D20" s="263"/>
      <c r="E20" s="195"/>
      <c r="F20" s="260"/>
      <c r="G20" s="260"/>
      <c r="H20" s="69"/>
      <c r="I20" s="195"/>
      <c r="J20" s="2" t="s">
        <v>69</v>
      </c>
      <c r="K20" s="3">
        <v>0</v>
      </c>
      <c r="L20" s="4" t="s">
        <v>70</v>
      </c>
      <c r="M20" s="3">
        <v>7</v>
      </c>
      <c r="N20" s="14">
        <v>2.2999999999999998</v>
      </c>
      <c r="O20" s="15">
        <v>0</v>
      </c>
      <c r="P20" s="3">
        <v>0</v>
      </c>
      <c r="Q20" s="3">
        <v>0</v>
      </c>
      <c r="R20" s="54">
        <v>0</v>
      </c>
      <c r="S20" s="62">
        <v>0</v>
      </c>
      <c r="T20" s="73">
        <v>0</v>
      </c>
      <c r="U20" s="33">
        <f>SUM(P20:Q20)</f>
        <v>0</v>
      </c>
      <c r="V20" s="125">
        <v>0</v>
      </c>
      <c r="W20" s="9">
        <v>0</v>
      </c>
      <c r="X20" s="203"/>
      <c r="Y20" s="172"/>
      <c r="Z20" s="222"/>
      <c r="AA20" s="173"/>
      <c r="AB20" s="225"/>
      <c r="AC20" s="208"/>
      <c r="AD20" s="205"/>
      <c r="AE20" s="205"/>
      <c r="AF20" s="214"/>
      <c r="AG20" s="186"/>
      <c r="AH20" s="186"/>
      <c r="AI20" s="155"/>
      <c r="AJ20" s="186"/>
      <c r="AK20" s="186"/>
      <c r="AL20" s="4" t="s">
        <v>89</v>
      </c>
      <c r="AM20" s="4" t="s">
        <v>98</v>
      </c>
      <c r="AN20" s="21" t="s">
        <v>100</v>
      </c>
      <c r="AO20" s="4" t="s">
        <v>99</v>
      </c>
      <c r="AP20" s="4" t="s">
        <v>148</v>
      </c>
      <c r="AQ20" s="45">
        <v>291851723</v>
      </c>
      <c r="AR20" s="47">
        <v>838351723</v>
      </c>
      <c r="AS20" s="46"/>
      <c r="AT20" s="46">
        <v>0</v>
      </c>
      <c r="AU20" s="46">
        <v>229736000</v>
      </c>
      <c r="AV20" s="49">
        <f>+AU20/AQ20</f>
        <v>0.78716684499409306</v>
      </c>
      <c r="AW20" s="41" t="s">
        <v>115</v>
      </c>
      <c r="AX20" s="39"/>
    </row>
    <row r="21" spans="1:50" ht="51" customHeight="1" x14ac:dyDescent="0.35">
      <c r="A21" s="96"/>
      <c r="B21" s="98"/>
      <c r="C21" s="99"/>
      <c r="D21" s="100"/>
      <c r="E21" s="96"/>
      <c r="F21" s="77"/>
      <c r="G21" s="77"/>
      <c r="H21" s="79"/>
      <c r="I21" s="96"/>
      <c r="J21" s="187" t="s">
        <v>170</v>
      </c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9"/>
      <c r="V21" s="137">
        <f>AVERAGE(V16:V20)</f>
        <v>0.50246652572233963</v>
      </c>
      <c r="W21" s="137">
        <f>AVERAGE(W16:W20)</f>
        <v>0.38999999999999996</v>
      </c>
      <c r="X21" s="90"/>
      <c r="Y21" s="173"/>
      <c r="Z21" s="168" t="s">
        <v>175</v>
      </c>
      <c r="AA21" s="169"/>
      <c r="AB21" s="169"/>
      <c r="AC21" s="169"/>
      <c r="AD21" s="169"/>
      <c r="AE21" s="170"/>
      <c r="AF21" s="140">
        <f>AVERAGE(AF16)</f>
        <v>0.1</v>
      </c>
      <c r="AG21" s="83"/>
      <c r="AH21" s="83"/>
      <c r="AI21" s="103"/>
      <c r="AJ21" s="83"/>
      <c r="AK21" s="83"/>
      <c r="AL21" s="98"/>
      <c r="AM21" s="98"/>
      <c r="AN21" s="21"/>
      <c r="AO21" s="98"/>
      <c r="AP21" s="98" t="s">
        <v>149</v>
      </c>
      <c r="AQ21" s="93">
        <v>546500000</v>
      </c>
      <c r="AR21" s="47"/>
      <c r="AS21" s="46"/>
      <c r="AT21" s="46"/>
      <c r="AU21" s="46">
        <v>546500000</v>
      </c>
      <c r="AV21" s="49">
        <f>+AU21/AQ21</f>
        <v>1</v>
      </c>
      <c r="AW21" s="98"/>
      <c r="AX21" s="39"/>
    </row>
    <row r="22" spans="1:50" ht="270" customHeight="1" x14ac:dyDescent="0.35">
      <c r="A22" s="1"/>
      <c r="B22" s="4" t="s">
        <v>71</v>
      </c>
      <c r="C22" s="4" t="s">
        <v>72</v>
      </c>
      <c r="D22" s="9" t="s">
        <v>73</v>
      </c>
      <c r="E22" s="4" t="s">
        <v>74</v>
      </c>
      <c r="F22" s="58">
        <f>W22</f>
        <v>0.15384615384615385</v>
      </c>
      <c r="G22" s="58">
        <v>0.15</v>
      </c>
      <c r="H22" s="51">
        <f>G22</f>
        <v>0.15</v>
      </c>
      <c r="I22" s="130" t="s">
        <v>129</v>
      </c>
      <c r="J22" s="2" t="s">
        <v>75</v>
      </c>
      <c r="K22" s="3">
        <v>0</v>
      </c>
      <c r="L22" s="4" t="s">
        <v>76</v>
      </c>
      <c r="M22" s="3">
        <v>26</v>
      </c>
      <c r="N22" s="14">
        <v>8</v>
      </c>
      <c r="O22" s="15">
        <v>0</v>
      </c>
      <c r="P22" s="3">
        <v>0</v>
      </c>
      <c r="Q22" s="17">
        <v>0</v>
      </c>
      <c r="R22" s="61">
        <v>4</v>
      </c>
      <c r="S22" s="61">
        <v>0</v>
      </c>
      <c r="T22" s="61">
        <v>0</v>
      </c>
      <c r="U22" s="33">
        <v>4</v>
      </c>
      <c r="V22" s="125">
        <f>U22/8</f>
        <v>0.5</v>
      </c>
      <c r="W22" s="9">
        <f>U22/26</f>
        <v>0.15384615384615385</v>
      </c>
      <c r="X22" s="40">
        <f>+W22</f>
        <v>0.15384615384615385</v>
      </c>
      <c r="Y22" s="171" t="s">
        <v>104</v>
      </c>
      <c r="Z22" s="30">
        <v>2021130010121</v>
      </c>
      <c r="AA22" s="29" t="s">
        <v>106</v>
      </c>
      <c r="AB22" s="31" t="s">
        <v>105</v>
      </c>
      <c r="AC22" s="43">
        <v>26</v>
      </c>
      <c r="AD22" s="65">
        <v>0</v>
      </c>
      <c r="AE22" s="74">
        <v>0.15</v>
      </c>
      <c r="AF22" s="132">
        <v>0.15</v>
      </c>
      <c r="AG22" s="5" t="s">
        <v>119</v>
      </c>
      <c r="AH22" s="5" t="s">
        <v>119</v>
      </c>
      <c r="AI22" s="18" t="s">
        <v>88</v>
      </c>
      <c r="AJ22" s="12">
        <v>3559</v>
      </c>
      <c r="AK22" s="12">
        <v>3559</v>
      </c>
      <c r="AL22" s="4" t="s">
        <v>89</v>
      </c>
      <c r="AM22" s="4" t="s">
        <v>101</v>
      </c>
      <c r="AN22" s="21">
        <v>150000000</v>
      </c>
      <c r="AO22" s="4" t="s">
        <v>102</v>
      </c>
      <c r="AP22" s="4" t="s">
        <v>103</v>
      </c>
      <c r="AQ22" s="46">
        <v>150000000</v>
      </c>
      <c r="AR22" s="46">
        <v>142420585.13</v>
      </c>
      <c r="AS22" s="46"/>
      <c r="AT22" s="46">
        <v>0</v>
      </c>
      <c r="AU22" s="46">
        <v>138457674</v>
      </c>
      <c r="AV22" s="49">
        <f>+AU22/AQ22</f>
        <v>0.92305115999999998</v>
      </c>
      <c r="AW22" s="52" t="s">
        <v>163</v>
      </c>
      <c r="AX22" s="39"/>
    </row>
    <row r="23" spans="1:50" ht="39" customHeight="1" x14ac:dyDescent="0.35">
      <c r="A23" s="106"/>
      <c r="B23" s="104"/>
      <c r="C23" s="104"/>
      <c r="D23" s="105"/>
      <c r="E23" s="104"/>
      <c r="F23" s="107"/>
      <c r="G23" s="107"/>
      <c r="H23" s="50"/>
      <c r="I23" s="131"/>
      <c r="J23" s="184" t="s">
        <v>171</v>
      </c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38">
        <f>AVERAGE(V22)</f>
        <v>0.5</v>
      </c>
      <c r="W23" s="138">
        <f>+W22</f>
        <v>0.15384615384615385</v>
      </c>
      <c r="X23" s="105">
        <f>AVERAGE(X2:X22)</f>
        <v>0.40870909486950779</v>
      </c>
      <c r="Y23" s="173"/>
      <c r="Z23" s="174" t="s">
        <v>176</v>
      </c>
      <c r="AA23" s="175"/>
      <c r="AB23" s="175"/>
      <c r="AC23" s="175"/>
      <c r="AD23" s="175"/>
      <c r="AE23" s="176"/>
      <c r="AF23" s="139">
        <f>AVERAGE(AF22)</f>
        <v>0.15</v>
      </c>
      <c r="AG23" s="106"/>
      <c r="AH23" s="106"/>
      <c r="AI23" s="104"/>
      <c r="AJ23" s="106"/>
      <c r="AK23" s="106"/>
      <c r="AL23" s="104"/>
      <c r="AM23" s="107"/>
      <c r="AN23" s="24"/>
      <c r="AO23" s="107"/>
      <c r="AP23" s="143" t="s">
        <v>178</v>
      </c>
      <c r="AQ23" s="144">
        <f>SUM(AQ2:AQ22)</f>
        <v>42714330543.029999</v>
      </c>
      <c r="AR23" s="144">
        <f>SUM(AR2:AR22)</f>
        <v>20409562526.130001</v>
      </c>
      <c r="AS23" s="144"/>
      <c r="AT23" s="144">
        <v>0</v>
      </c>
      <c r="AU23" s="144">
        <f>SUM(AU2:AU22)</f>
        <v>33157396263.52</v>
      </c>
      <c r="AV23" s="145">
        <f>+AU23/AQ23</f>
        <v>0.77625929850679887</v>
      </c>
      <c r="AW23" s="127"/>
      <c r="AX23" s="38"/>
    </row>
    <row r="24" spans="1:50" ht="46.5" customHeight="1" x14ac:dyDescent="0.35">
      <c r="A24" s="106"/>
      <c r="B24" s="106"/>
      <c r="C24" s="106"/>
      <c r="D24" s="106"/>
      <c r="E24" s="106"/>
      <c r="F24" s="5"/>
      <c r="G24" s="5"/>
      <c r="H24" s="123"/>
      <c r="I24" s="128" t="s">
        <v>166</v>
      </c>
      <c r="J24" s="106"/>
      <c r="K24" s="106"/>
      <c r="L24" s="106"/>
      <c r="M24" s="106"/>
      <c r="N24" s="106"/>
      <c r="O24" s="106"/>
      <c r="P24" s="106"/>
      <c r="Q24" s="106"/>
      <c r="R24" s="106"/>
      <c r="S24" s="152" t="s">
        <v>172</v>
      </c>
      <c r="T24" s="152"/>
      <c r="U24" s="152"/>
      <c r="V24" s="138">
        <f>AVERAGE(V7,V11,V15,V21,V23)</f>
        <v>0.57009005147711522</v>
      </c>
      <c r="W24" s="138">
        <f>AVERAGE(W7,W11,W15,W21,W23)</f>
        <v>0.40870909486950779</v>
      </c>
      <c r="X24" s="106"/>
      <c r="Y24" s="104"/>
      <c r="Z24" s="141"/>
      <c r="AA24" s="141"/>
      <c r="AB24" s="141"/>
      <c r="AC24" s="152" t="s">
        <v>177</v>
      </c>
      <c r="AD24" s="152"/>
      <c r="AE24" s="152"/>
      <c r="AF24" s="142">
        <f>AVERAGE(AF7,AF11,AF21,AF23)</f>
        <v>0.52333333333333332</v>
      </c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</row>
    <row r="25" spans="1:50" ht="48.75" customHeight="1" x14ac:dyDescent="0.35">
      <c r="H25" s="122"/>
      <c r="U25" s="34"/>
      <c r="V25" s="105"/>
      <c r="AQ25" s="119"/>
      <c r="AU25" s="119"/>
    </row>
    <row r="26" spans="1:50" ht="56.25" customHeight="1" x14ac:dyDescent="0.35">
      <c r="A26" s="98" t="s">
        <v>164</v>
      </c>
      <c r="B26" s="92">
        <f>+V24</f>
        <v>0.57009005147711522</v>
      </c>
    </row>
    <row r="27" spans="1:50" ht="77.25" customHeight="1" x14ac:dyDescent="0.35">
      <c r="A27" s="98" t="s">
        <v>165</v>
      </c>
      <c r="B27" s="92">
        <f>+V25</f>
        <v>0</v>
      </c>
    </row>
    <row r="28" spans="1:50" ht="77.25" customHeight="1" x14ac:dyDescent="0.35">
      <c r="A28" s="98" t="s">
        <v>114</v>
      </c>
      <c r="B28" s="92">
        <f>+W24</f>
        <v>0.40870909486950779</v>
      </c>
    </row>
    <row r="29" spans="1:50" ht="86.25" customHeight="1" x14ac:dyDescent="0.35">
      <c r="A29" s="98" t="s">
        <v>135</v>
      </c>
      <c r="B29" s="92">
        <f>+AV23</f>
        <v>0.77625929850679887</v>
      </c>
    </row>
  </sheetData>
  <mergeCells count="144">
    <mergeCell ref="F16:F20"/>
    <mergeCell ref="G16:G20"/>
    <mergeCell ref="G13:G14"/>
    <mergeCell ref="F13:F14"/>
    <mergeCell ref="A2:A20"/>
    <mergeCell ref="B2:B14"/>
    <mergeCell ref="B16:B20"/>
    <mergeCell ref="C16:C20"/>
    <mergeCell ref="D16:D20"/>
    <mergeCell ref="E16:E20"/>
    <mergeCell ref="D13:D14"/>
    <mergeCell ref="C13:C14"/>
    <mergeCell ref="E13:E14"/>
    <mergeCell ref="C2:C7"/>
    <mergeCell ref="D2:D7"/>
    <mergeCell ref="E2:E7"/>
    <mergeCell ref="F2:F7"/>
    <mergeCell ref="G2:G7"/>
    <mergeCell ref="C8:C12"/>
    <mergeCell ref="D8:D12"/>
    <mergeCell ref="E8:E12"/>
    <mergeCell ref="F8:F12"/>
    <mergeCell ref="G8:G12"/>
    <mergeCell ref="AH16:AH20"/>
    <mergeCell ref="AA2:AA6"/>
    <mergeCell ref="J2:J3"/>
    <mergeCell ref="U2:U3"/>
    <mergeCell ref="M4:M5"/>
    <mergeCell ref="J9:J10"/>
    <mergeCell ref="K9:K10"/>
    <mergeCell ref="L2:L3"/>
    <mergeCell ref="M2:M3"/>
    <mergeCell ref="N2:N3"/>
    <mergeCell ref="K4:K5"/>
    <mergeCell ref="L4:L5"/>
    <mergeCell ref="R2:R3"/>
    <mergeCell ref="R4:R5"/>
    <mergeCell ref="N4:N5"/>
    <mergeCell ref="K2:K3"/>
    <mergeCell ref="L13:L14"/>
    <mergeCell ref="M13:M14"/>
    <mergeCell ref="N13:N14"/>
    <mergeCell ref="L9:L10"/>
    <mergeCell ref="AD16:AD20"/>
    <mergeCell ref="X2:X6"/>
    <mergeCell ref="X8:X10"/>
    <mergeCell ref="AW2:AW6"/>
    <mergeCell ref="AW8:AW13"/>
    <mergeCell ref="AJ2:AJ6"/>
    <mergeCell ref="AK2:AK6"/>
    <mergeCell ref="AJ8:AJ14"/>
    <mergeCell ref="AK8:AK14"/>
    <mergeCell ref="AO2:AO6"/>
    <mergeCell ref="AM8:AM13"/>
    <mergeCell ref="AN8:AN13"/>
    <mergeCell ref="AO8:AO13"/>
    <mergeCell ref="AN2:AN6"/>
    <mergeCell ref="AS2:AS6"/>
    <mergeCell ref="AS8:AS13"/>
    <mergeCell ref="AR2:AR6"/>
    <mergeCell ref="AR8:AR13"/>
    <mergeCell ref="AT8:AT13"/>
    <mergeCell ref="AT2:AT6"/>
    <mergeCell ref="AH11:AH12"/>
    <mergeCell ref="AI11:AI12"/>
    <mergeCell ref="O9:O10"/>
    <mergeCell ref="U13:U14"/>
    <mergeCell ref="V13:V14"/>
    <mergeCell ref="O2:O3"/>
    <mergeCell ref="P2:P3"/>
    <mergeCell ref="Q2:Q3"/>
    <mergeCell ref="O4:O5"/>
    <mergeCell ref="P4:P5"/>
    <mergeCell ref="Q4:Q5"/>
    <mergeCell ref="V2:V3"/>
    <mergeCell ref="W2:W3"/>
    <mergeCell ref="U4:U5"/>
    <mergeCell ref="V4:V5"/>
    <mergeCell ref="T4:T5"/>
    <mergeCell ref="AK16:AK20"/>
    <mergeCell ref="AJ16:AJ20"/>
    <mergeCell ref="AI16:AI20"/>
    <mergeCell ref="M9:M10"/>
    <mergeCell ref="N9:N10"/>
    <mergeCell ref="U9:U10"/>
    <mergeCell ref="V9:V10"/>
    <mergeCell ref="S4:S5"/>
    <mergeCell ref="X16:X20"/>
    <mergeCell ref="AF16:AF20"/>
    <mergeCell ref="P13:P14"/>
    <mergeCell ref="O13:O14"/>
    <mergeCell ref="Q13:Q14"/>
    <mergeCell ref="R13:R14"/>
    <mergeCell ref="S13:S14"/>
    <mergeCell ref="T13:T14"/>
    <mergeCell ref="W4:W5"/>
    <mergeCell ref="Z2:Z6"/>
    <mergeCell ref="Z16:Z20"/>
    <mergeCell ref="AA16:AA20"/>
    <mergeCell ref="AB16:AB20"/>
    <mergeCell ref="AC16:AC20"/>
    <mergeCell ref="AG16:AG20"/>
    <mergeCell ref="S2:S3"/>
    <mergeCell ref="H2:H7"/>
    <mergeCell ref="V11:V12"/>
    <mergeCell ref="W11:W12"/>
    <mergeCell ref="X11:X12"/>
    <mergeCell ref="J23:U23"/>
    <mergeCell ref="AG11:AG12"/>
    <mergeCell ref="J7:U7"/>
    <mergeCell ref="J11:U12"/>
    <mergeCell ref="R9:R10"/>
    <mergeCell ref="S9:S10"/>
    <mergeCell ref="T9:T10"/>
    <mergeCell ref="J21:U21"/>
    <mergeCell ref="AF11:AF12"/>
    <mergeCell ref="Z8:Z10"/>
    <mergeCell ref="AA8:AA10"/>
    <mergeCell ref="H8:H12"/>
    <mergeCell ref="I16:I20"/>
    <mergeCell ref="J13:J14"/>
    <mergeCell ref="K13:K14"/>
    <mergeCell ref="H13:H14"/>
    <mergeCell ref="J4:J5"/>
    <mergeCell ref="W13:W14"/>
    <mergeCell ref="AE16:AE20"/>
    <mergeCell ref="I2:I7"/>
    <mergeCell ref="I8:I12"/>
    <mergeCell ref="I13:I15"/>
    <mergeCell ref="J15:U15"/>
    <mergeCell ref="S24:U24"/>
    <mergeCell ref="Y8:Y12"/>
    <mergeCell ref="Z11:AE12"/>
    <mergeCell ref="Y2:Y7"/>
    <mergeCell ref="Z7:AE7"/>
    <mergeCell ref="Z21:AE21"/>
    <mergeCell ref="Y16:Y21"/>
    <mergeCell ref="Y22:Y23"/>
    <mergeCell ref="Z23:AE23"/>
    <mergeCell ref="AC24:AE24"/>
    <mergeCell ref="W9:W10"/>
    <mergeCell ref="P9:P10"/>
    <mergeCell ref="Q9:Q10"/>
    <mergeCell ref="T2:T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 MARINA SEVERICHE MONROY</dc:creator>
  <cp:lastModifiedBy>LUZ  MARINA SEVERICHE MONROY</cp:lastModifiedBy>
  <dcterms:created xsi:type="dcterms:W3CDTF">2021-06-24T15:42:32Z</dcterms:created>
  <dcterms:modified xsi:type="dcterms:W3CDTF">2022-01-24T21:31:31Z</dcterms:modified>
</cp:coreProperties>
</file>