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luzma\OneDrive\Escritorio\SEGUIMIENTOS PLANES DE ACCION A JUNIO 30 DE 2022\"/>
    </mc:Choice>
  </mc:AlternateContent>
  <xr:revisionPtr revIDLastSave="0" documentId="8_{3FB879A7-E04D-49BE-A462-6019E1726C09}" xr6:coauthVersionLast="47" xr6:coauthVersionMax="47" xr10:uidLastSave="{00000000-0000-0000-0000-000000000000}"/>
  <bookViews>
    <workbookView xWindow="-110" yWindow="-110" windowWidth="19420" windowHeight="10420" xr2:uid="{00000000-000D-0000-FFFF-FFFF00000000}"/>
  </bookViews>
  <sheets>
    <sheet name="SICC 2022" sheetId="1" r:id="rId1"/>
    <sheet name="PISCC 202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19" i="2" l="1"/>
  <c r="AH55" i="1" s="1"/>
  <c r="AG19" i="2"/>
  <c r="AG55" i="1" s="1"/>
  <c r="AI3" i="2" l="1"/>
  <c r="AI55" i="1"/>
  <c r="R50" i="1"/>
  <c r="R51" i="1"/>
  <c r="R52" i="1"/>
  <c r="R53" i="1"/>
  <c r="R54" i="1"/>
  <c r="R49" i="1"/>
  <c r="R39" i="1"/>
  <c r="R44" i="1"/>
  <c r="R46" i="1"/>
  <c r="R38" i="1"/>
  <c r="R31" i="1"/>
  <c r="R23" i="1"/>
  <c r="R24" i="1"/>
  <c r="R25" i="1"/>
  <c r="R22" i="1"/>
  <c r="S20" i="1" s="1"/>
  <c r="R9" i="1"/>
  <c r="R3" i="1"/>
  <c r="R10" i="1"/>
  <c r="P49" i="1"/>
  <c r="P15" i="1"/>
  <c r="S24" i="1" l="1"/>
  <c r="AA9" i="2"/>
  <c r="AA10" i="2"/>
  <c r="AA11" i="2"/>
  <c r="AA12" i="2"/>
  <c r="AA13" i="2"/>
  <c r="AA14" i="2"/>
  <c r="AA15" i="2"/>
  <c r="AA16" i="2"/>
  <c r="AA17" i="2"/>
  <c r="AA4" i="2"/>
  <c r="AA5" i="2"/>
  <c r="AA7" i="2"/>
  <c r="AA8" i="2"/>
  <c r="AA3" i="2"/>
  <c r="AB3" i="2" s="1"/>
  <c r="AA54" i="1"/>
  <c r="AB54" i="1" s="1"/>
  <c r="AA51" i="1"/>
  <c r="AA52" i="1"/>
  <c r="AB51" i="1" s="1"/>
  <c r="AA53" i="1"/>
  <c r="AA50" i="1"/>
  <c r="AA49" i="1"/>
  <c r="AB49" i="1" s="1"/>
  <c r="AA39" i="1"/>
  <c r="AA40" i="1"/>
  <c r="AA41" i="1"/>
  <c r="AA43" i="1"/>
  <c r="AA44" i="1"/>
  <c r="AB44" i="1" s="1"/>
  <c r="AA45" i="1"/>
  <c r="AA46" i="1"/>
  <c r="AA36" i="1"/>
  <c r="AA37" i="1"/>
  <c r="AA38" i="1"/>
  <c r="AA32" i="1"/>
  <c r="AA34" i="1"/>
  <c r="AA35" i="1"/>
  <c r="AA31" i="1"/>
  <c r="AB31" i="1" s="1"/>
  <c r="AA24" i="1"/>
  <c r="AB24" i="1" s="1"/>
  <c r="AA25" i="1"/>
  <c r="AA27" i="1"/>
  <c r="AA23" i="1"/>
  <c r="AB23" i="1" s="1"/>
  <c r="AA20" i="1"/>
  <c r="AB20" i="1" s="1"/>
  <c r="AA22" i="1"/>
  <c r="AA18" i="1"/>
  <c r="AA19" i="1"/>
  <c r="AA16" i="1"/>
  <c r="AB15" i="1"/>
  <c r="AA9" i="1"/>
  <c r="AA12" i="1"/>
  <c r="AA13" i="1"/>
  <c r="AA14" i="1"/>
  <c r="AA7" i="1"/>
  <c r="AB6" i="1" s="1"/>
  <c r="AA8" i="1"/>
  <c r="AA5" i="1"/>
  <c r="AA3" i="1"/>
  <c r="P51" i="1"/>
  <c r="P52" i="1"/>
  <c r="P53" i="1"/>
  <c r="P54" i="1"/>
  <c r="S54" i="1" s="1"/>
  <c r="P50" i="1"/>
  <c r="S49" i="1"/>
  <c r="P44" i="1"/>
  <c r="P46" i="1"/>
  <c r="P40" i="1"/>
  <c r="P41" i="1"/>
  <c r="P43" i="1"/>
  <c r="P39" i="1"/>
  <c r="P38" i="1"/>
  <c r="P31" i="1"/>
  <c r="Q31" i="1" s="1"/>
  <c r="P24" i="1"/>
  <c r="P25" i="1"/>
  <c r="P23" i="1"/>
  <c r="S23" i="1" s="1"/>
  <c r="P22" i="1"/>
  <c r="P21" i="1"/>
  <c r="S16" i="1"/>
  <c r="P19" i="1"/>
  <c r="Q16" i="1" s="1"/>
  <c r="AB16" i="1" l="1"/>
  <c r="AB10" i="1"/>
  <c r="Q39" i="1"/>
  <c r="Q20" i="1"/>
  <c r="Q24" i="1"/>
  <c r="AB39" i="1"/>
  <c r="AB3" i="1"/>
  <c r="AB55" i="1" s="1"/>
  <c r="S44" i="1"/>
  <c r="S51" i="1"/>
  <c r="Q15" i="1"/>
  <c r="Q23" i="1"/>
  <c r="Q44" i="1"/>
  <c r="Q49" i="1"/>
  <c r="Q51" i="1"/>
  <c r="Q54" i="1"/>
  <c r="S31" i="1"/>
  <c r="S6" i="1"/>
  <c r="P9" i="1"/>
  <c r="Q9" i="1" s="1"/>
  <c r="P7" i="1"/>
  <c r="Q6" i="1" s="1"/>
  <c r="P3" i="1"/>
  <c r="S3" i="1" s="1"/>
  <c r="P5" i="1"/>
  <c r="Q3" i="1" l="1"/>
  <c r="Q55" i="1" s="1"/>
  <c r="S9" i="1"/>
  <c r="AI54" i="1"/>
  <c r="AI51" i="1"/>
  <c r="AI49" i="1"/>
  <c r="AI44" i="1"/>
  <c r="AI39" i="1"/>
  <c r="AI31" i="1"/>
  <c r="AI24" i="1"/>
  <c r="AI23" i="1"/>
  <c r="AI20" i="1"/>
  <c r="AI16" i="1"/>
  <c r="AI9" i="1"/>
  <c r="AI15" i="1"/>
  <c r="AI6" i="1" l="1"/>
  <c r="AI3" i="1"/>
  <c r="AR12" i="1" l="1"/>
  <c r="AW41" i="1" l="1"/>
  <c r="AW26" i="1"/>
  <c r="AW18" i="1"/>
  <c r="AW14" i="1" l="1"/>
  <c r="AW8" i="1"/>
  <c r="AM18" i="2" l="1"/>
  <c r="M7" i="1" l="1"/>
  <c r="AM46" i="1"/>
  <c r="AM43" i="1"/>
  <c r="AM33" i="1"/>
  <c r="AM27" i="1"/>
  <c r="AM20" i="1"/>
  <c r="AM17" i="1"/>
  <c r="AM10" i="1"/>
  <c r="AR18" i="1"/>
  <c r="AR27" i="1" l="1"/>
  <c r="M6" i="1" l="1"/>
  <c r="M43" i="1"/>
  <c r="R43" i="1" s="1"/>
  <c r="S39" i="1" s="1"/>
  <c r="M33" i="1"/>
  <c r="M21" i="1"/>
  <c r="M15" i="1"/>
  <c r="R15" i="1" l="1"/>
  <c r="S15" i="1" s="1"/>
  <c r="S55" i="1" s="1"/>
</calcChain>
</file>

<file path=xl/sharedStrings.xml><?xml version="1.0" encoding="utf-8"?>
<sst xmlns="http://schemas.openxmlformats.org/spreadsheetml/2006/main" count="1321" uniqueCount="610">
  <si>
    <t>¿Requiere contratación?</t>
  </si>
  <si>
    <t>Código Presupuestal</t>
  </si>
  <si>
    <t>Rubro Presupuestal</t>
  </si>
  <si>
    <t>Fuente Presupuestal</t>
  </si>
  <si>
    <t>Fuente de Financiación</t>
  </si>
  <si>
    <t>Nombre del Responable</t>
  </si>
  <si>
    <t xml:space="preserve">Dependencia Responsable </t>
  </si>
  <si>
    <t xml:space="preserve">Fecha de inicio </t>
  </si>
  <si>
    <t>Actividades de Proyecto</t>
  </si>
  <si>
    <t>Objetivo del Proyecto</t>
  </si>
  <si>
    <t>PROYECTO</t>
  </si>
  <si>
    <t>PROGRAMACIÓN META A 2022</t>
  </si>
  <si>
    <t>Descripción de la Meta Producto 2020-2023</t>
  </si>
  <si>
    <t>Línea Base 2019 
Según PDD</t>
  </si>
  <si>
    <t>UNIDAD DE MEDIDA DEL INDICADOR DE PRODUCTO</t>
  </si>
  <si>
    <t>Indicador de Producto</t>
  </si>
  <si>
    <t xml:space="preserve">PROGRAMA </t>
  </si>
  <si>
    <t>Meta de Bienestar 2020-2023</t>
  </si>
  <si>
    <t>Línea Base 2019</t>
  </si>
  <si>
    <t>Indicador de Bienestar</t>
  </si>
  <si>
    <t>LINEA ESTRATEGICA</t>
  </si>
  <si>
    <t>PILAR</t>
  </si>
  <si>
    <t>Fecha de Inicio Contratación</t>
  </si>
  <si>
    <t>Beneficiarios Programados</t>
  </si>
  <si>
    <t>ACUMULADO DE META PRODUCTO 2020- 2021</t>
  </si>
  <si>
    <t>Porcentaje de Participación de la Actividad en el Proyecto</t>
  </si>
  <si>
    <t>Apropiación Inicial
(en pesos)</t>
  </si>
  <si>
    <t>Tipo de Contratación</t>
  </si>
  <si>
    <t>Código de proyecto BPIN</t>
  </si>
  <si>
    <t>Tiempo de Ejecución
(número de días)</t>
  </si>
  <si>
    <t>Valor de  la Meta Producto 2020-2023</t>
  </si>
  <si>
    <t>Valor de la Actividad del  Proyecto 2022</t>
  </si>
  <si>
    <t>PILAR  1. CARTAGENA RESILIENTE</t>
  </si>
  <si>
    <t>GESTION DEL RIESGO</t>
  </si>
  <si>
    <t xml:space="preserve">Cobertura de respuesta
del cuerpo de Bomberos.
</t>
  </si>
  <si>
    <t xml:space="preserve">0% de cobertura de
Bomberos para
respuesta acuática e insular en el Distrito.
</t>
  </si>
  <si>
    <t>Alcanzar en un 20%  cobertura acuática e insular en el Distrito Cartagena por el Cuerpo de Bomberos</t>
  </si>
  <si>
    <t>FORTALECIMIENTO CUERPO DE BOMBEROS</t>
  </si>
  <si>
    <t>Estación de Bomberos de Bocagrande adecuada para que brinde respuesta terrestre y acuática.</t>
  </si>
  <si>
    <t>A 2019 estación de Cuerpo de Bomberos de Bocagrande con respuesta solo de emergencias  terrestres.</t>
  </si>
  <si>
    <t>Tiempo de respuesta del cuerpo de Bomberos.</t>
  </si>
  <si>
    <t xml:space="preserve">Tiempo de respuesta  promedio  de 20
minutos
</t>
  </si>
  <si>
    <t>Reducir tiempo de respuesta  a emergencias por parte del Cuerpo de Bomberos a 10 minutos</t>
  </si>
  <si>
    <t>Nueva estación de Bomberos terrestre en el Distrito de Cartagena construida.</t>
  </si>
  <si>
    <t>A 2019 tres estaciones de Bomberos en el Distrito.</t>
  </si>
  <si>
    <t xml:space="preserve">Capacidad operativa
del cuerpo de Bomberos
</t>
  </si>
  <si>
    <t>Tres estaciones Bomberiles con dotación de equipos de rescate técnico en un 30%, equipos contra incendios en un 70% y equipos para materiales peligrosos en un 10%.</t>
  </si>
  <si>
    <t>Alcanzar un 80% en dotación de equipos de  rescate técnico, contra incendios y  materiales peligrosos en las tres estaciones de Bomberos de Cartagena</t>
  </si>
  <si>
    <t>3 estaciones de bomberos del Distrito de Cartagena dotadas (No es PDT, la escrita aquí corresponde al producto en el proyecto de inversión)</t>
  </si>
  <si>
    <t>3 estaciones de bomberos del Distrito de Cartagena.</t>
  </si>
  <si>
    <t>PILAR 4. CARTAGENA TRANSPARENTE</t>
  </si>
  <si>
    <t>CONVIVENCIA Y SEGURIDAD PARA LA GOBERNABILIDAD</t>
  </si>
  <si>
    <t>Tasa de hurto a personas por cada 100 mil habitantes</t>
  </si>
  <si>
    <t>595,9
Fuente Policía Metropolitana</t>
  </si>
  <si>
    <t>Reducir a 567,9 tasa de hurto a personas en el Distrito de Cartagena</t>
  </si>
  <si>
    <t>FORTALECIMIENTO DE LA CONVIVENCIA Y LA SEGURIDAD CIUDADANA</t>
  </si>
  <si>
    <t>Numero Operativos para la seguridad y la convivencia realizados</t>
  </si>
  <si>
    <t>ND</t>
  </si>
  <si>
    <t xml:space="preserve">Numero de Consejos comunitarios de seguridad realizados </t>
  </si>
  <si>
    <t>13
Fuente: SICC</t>
  </si>
  <si>
    <t>Tasa de hurto a residencias por cada 100 mil habitantes</t>
  </si>
  <si>
    <t>79,7
Fuente Policía Metropolitana</t>
  </si>
  <si>
    <t xml:space="preserve">Reducir a 51,7 la tasa de hurto a residencias en el Distrito de Cartagena  </t>
  </si>
  <si>
    <t>MEJORAR LA CONVIVENCIA CIUDADANA CON LA IMPLEMENTACIÓN DEL CÓDIGO NACIONAL  DE SEGURIDAD Y  CONVIVENCIA</t>
  </si>
  <si>
    <t>0
Fuente: SICC</t>
  </si>
  <si>
    <t>Número de casos de comportamientos que ponen en riesgo la vida e integridad reducidos.</t>
  </si>
  <si>
    <t xml:space="preserve">1593
Fuente Policía Metropolitana
</t>
  </si>
  <si>
    <t>Disminuir a 1195 el número de casos de comportamientos que ponen en riesgo la vida e integridad en el Distrito de Cartagena.</t>
  </si>
  <si>
    <t>Iniciativas para la promoción de la convivencia implementadas.</t>
  </si>
  <si>
    <t>2 iniciativas  realizadas en 2019.
Fuente: SICC</t>
  </si>
  <si>
    <t>Inspecciones de policía  fortalecidas en sus condiciones operativas y de infraestructura.</t>
  </si>
  <si>
    <t>33 inspecciones de policía en el Distrito de Cartagena ( 16 intervenidas a 2018)</t>
  </si>
  <si>
    <t xml:space="preserve">Numero de Lesiones Personales reducidas </t>
  </si>
  <si>
    <t xml:space="preserve">3184
Fuente Policía Metropolitana
</t>
  </si>
  <si>
    <t>Reducir a  2228,8 el número de lesiones Personales en el Distrito de  Cartagena</t>
  </si>
  <si>
    <t>FORTALECIMIENTO CAPACIDAD OPERATIVA DE LA SECRETARIA DEL INTERIOR Y CONVIVENCIA CIUDADANA</t>
  </si>
  <si>
    <t xml:space="preserve">Numero de Operativos de control
a espectáculos públicos realizados en el Distrito
</t>
  </si>
  <si>
    <t>256.
Fuente: SICC</t>
  </si>
  <si>
    <t>Número de casos de Violencia intrafamiliar reducidos</t>
  </si>
  <si>
    <t xml:space="preserve">1402
Fuente :Forensis Medicina legal
</t>
  </si>
  <si>
    <t>Reducir a 1051 el número de casos de violencia Intrafamiliar en el Distrito de Cartagena.</t>
  </si>
  <si>
    <t>PROMOCIÓN AL ACCESO A LA JUSTICIA</t>
  </si>
  <si>
    <t xml:space="preserve">Número de Casas de justicia operando con instalaciones en óptimas condiciones </t>
  </si>
  <si>
    <t>3 Casas de Justicia en el Distrito.</t>
  </si>
  <si>
    <t>Tasa de Violencia contra niños, niñas y adolescentes</t>
  </si>
  <si>
    <t>Disminuir la Tasa de Violencia contra niños, niñas y adolescentes en 30%</t>
  </si>
  <si>
    <t>Número de usuarios informados a través de las campañas de divulgación sobre rutas de atención del programa para el uso del servicio público de    acceso  a la justicia.</t>
  </si>
  <si>
    <t>2.859
Fuente: SICC</t>
  </si>
  <si>
    <t>Número de casos de abuso sexual de menores reducidos.</t>
  </si>
  <si>
    <t xml:space="preserve">418
Fuente: COSED
</t>
  </si>
  <si>
    <t>Reducir a 313  el número de casos de abuso  sexual en menores de edad en el Distrito de Cartagena.</t>
  </si>
  <si>
    <t>Numero de Comisarias de familia adecuadas y  en funcionamiento con   infraestructura y un modelo de gestión e información eficaz.</t>
  </si>
  <si>
    <t>6 Comisarías de Familia en el Distrito.</t>
  </si>
  <si>
    <t>Número de casos de Feminicidio reducidos.</t>
  </si>
  <si>
    <t xml:space="preserve">875
Fuente: Forensis Medicina Legal
</t>
  </si>
  <si>
    <t>Reducir a 656 el número de casos de violencia basada en género en el Distrito de Cartagena.</t>
  </si>
  <si>
    <t>Número de Jornadas de información y  promoción de  los Métodos alternativos de solución de conflictos – MASC</t>
  </si>
  <si>
    <t>Numero de riñas  entre adolescentes y jóvenes que pertenecen a grupos de pandilla.</t>
  </si>
  <si>
    <t xml:space="preserve">201
Fuente Policía Metropolitana
</t>
  </si>
  <si>
    <t>Reducir a 141 el número de riñas entre adolescentes y jóvenes que pertenecen a grupos de pandilla en el Distrito de Cartagena.</t>
  </si>
  <si>
    <t>ASISTENCIA Y ATENCIÓN INTEGRAL A LOS NIÑOS, NIÑAS,  ADOLESCENTES Y JÓVENES EN RIESGO DE VINCULARSE A ACTIVIDADES DELICTIVAS</t>
  </si>
  <si>
    <t xml:space="preserve">
Numero de pandillas y sus integrantes caracterizados en el Distrito de Cartagena
</t>
  </si>
  <si>
    <t xml:space="preserve">Número de Niños, niñas,  adolescentes y jóvenes en riesgo de vincularse a actividades delictivas atendidos 
Psicosocialmente
</t>
  </si>
  <si>
    <t>2.063
Fuente: SICC</t>
  </si>
  <si>
    <t>Número de Iniciativas juveniles de  emprendimiento apoyadas y con seguimiento por parte del Distrito.</t>
  </si>
  <si>
    <t>118
Fuente: SICC</t>
  </si>
  <si>
    <t>FORTALECIMIENTO SISTEMA DE RESPONSABILIDAD PENAL PARA ADOLESCENTES –SRPA</t>
  </si>
  <si>
    <t>Estrategia  de atención integral para la atención de  jóvenes y adolescentes  en el  Sistema de Responsabilidad Penal para Adolescentes- SRP apoyada por el Distrito anualmente.</t>
  </si>
  <si>
    <t>Convenio con Asomenores  suscrito en los años 2016-2017-2018</t>
  </si>
  <si>
    <t>DERECHOS HUMANOS PARA LA PAZ</t>
  </si>
  <si>
    <t xml:space="preserve">Porcentaje de personas en proceso de  Reintegración y reincorporación que acceden a beneficio de inserción económica en el Distrito (creación y/o fortalecimiento) </t>
  </si>
  <si>
    <t xml:space="preserve">Total población Reincorporación en Cartagena 100%:
( 64
Total población Reintegración Regular y Especial: 28)
Fuente: ARN Bolívar – Sucre, sede Cartagena
</t>
  </si>
  <si>
    <t xml:space="preserve">Garantizar acceso a beneficio de inserción económica (creación y/o fortalecimiento) al 66% ( 61) de las personas en proceso de  Reintegración y reincorporación en el Distrito </t>
  </si>
  <si>
    <t>PREVENCIÓN, PROMOCIÓN Y PROTECCIÓN DE LOS DRECHOS HUMANOS EN EL DISTRITO DE CARTAGENA</t>
  </si>
  <si>
    <t>Personas en proceso de  Reintegración y reincorporación que acceden a beneficio de inserción económica en el Distrito (creación y/o fortalecimiento)</t>
  </si>
  <si>
    <t>52 Fuente: SICC</t>
  </si>
  <si>
    <t>Acciones afirmativas de reconocimiento a defensores de DDHH,  líderes y lideresas sociales</t>
  </si>
  <si>
    <t>Realizar en un 100% acciones afirmativas de reconocimiento y legitimación de la labor de los defensores de DDHH, líderes y lideresas sociales en el Distrito de Cartagena.</t>
  </si>
  <si>
    <t>Acciones afirmativas de reconocimiento y legitimación de la labor de los defensores de DDHH, líderes y lideresas sociales implementadas</t>
  </si>
  <si>
    <t>Porcentaje de personas con medidas de prevención temprana y urgente adoptadas</t>
  </si>
  <si>
    <t>14% (5) personas   medidas adoptadas.</t>
  </si>
  <si>
    <t>Garantizar en un 100% la activación de las rutas de prevención temprana, urgente y de protección en materia de DDHH  en articulación con las entidades del nivel Distrital, Departamental y nacional con competencia en el tema.</t>
  </si>
  <si>
    <t>Equipo de Acción Inmediata (EAI) a nivel territorial para operativizar las rutas de prevención temprana, urgente y de protección en materia DDHH creado y funcionando en el Distrito</t>
  </si>
  <si>
    <t>Porcentaje de funcionamiento del Consejo de Paz, Reconciliación, Convivencia y DDHH</t>
  </si>
  <si>
    <t>Consejo de Paz, Reconciliación, Convivencia y DDHH creado mediante Acuerdo 024 de 30 de Diciembre de 2019</t>
  </si>
  <si>
    <t>Poner en funcionamiento en un 100% el Consejo de Paz, Reconciliación, Convivencia y DDHH.</t>
  </si>
  <si>
    <t>Centro de Atención al migrante dotado y funcionando  en el Distrito</t>
  </si>
  <si>
    <t>Mesa  técnica de refugiados,  migrantes y retornados reglamentada y sesionando en el Distrito de Cartagena</t>
  </si>
  <si>
    <t>Mesa  técnica de refugiados,  migrantes y retornados sesionando en el Distrito de Cartagena sin reglamentación</t>
  </si>
  <si>
    <t>Consejo de Paz, Reconciliación, Convivencia y DDHH activo y sesionando en el Distrito de Cartagena</t>
  </si>
  <si>
    <t>Consejo de Paz, Reconciliación, Convivencia y DDHH creado mediante   Acuerdo 024 de 30 de Diciembre  2019</t>
  </si>
  <si>
    <t>Cear el comité intersectorial de libertad religiosa como espacio de interlocución con la administración, garantizado la participación de todas las confesiones y entidades religiosas del Municipio</t>
  </si>
  <si>
    <t>Porcentaje de condiciones de prisionalización de Cárcel Distrital de Mujeres y cárcel de Ternera mejorado</t>
  </si>
  <si>
    <t xml:space="preserve">Mejorar en un 100% las condiciones de prisionalización de Cárcel Distrital de Mujeres y cárcel de Ternera </t>
  </si>
  <si>
    <t>SISTEMA PENITENCIARIO Y CARCELARIO EN EL MARCO DE LOS DERECHOS HUMANOS</t>
  </si>
  <si>
    <t>Numero de guardas para aumentar capacidad operativa de la  Carcel Distrital de Mujeres</t>
  </si>
  <si>
    <t xml:space="preserve">25 guardias vinculados, pero 5 de ellos están prestando servicios de guardia en la cárcel masculina en virtud del convenio INPEC.
Fuente:  Cárcel Distrital
</t>
  </si>
  <si>
    <t>Personas privadas de la libertad (PPL) vinculadas a programas psicosociales</t>
  </si>
  <si>
    <t>69  internas vinculadas a  a programas psicosociales.</t>
  </si>
  <si>
    <t>Convenio INPEC  suscrito anualmente</t>
  </si>
  <si>
    <t>Ultimo Convenio INPEC suscrito en el año 2019</t>
  </si>
  <si>
    <t>ATENCION  Y REPARACION A  VICTIMAS  PARA LA  CONSTRUCCION DE LA PAZ  TERRITORIAL.</t>
  </si>
  <si>
    <t>Porcentaje de  población víctima del conflicto atendida en la modalidad de atención inmediata (interna y externa) diferencial con enfoque de género y étnico</t>
  </si>
  <si>
    <t>100%
Atendidos los requerimientos 
Fuente: SICC</t>
  </si>
  <si>
    <t>Garantizar en un 100% atención inmediata  (interna y externa) diferencial con enfoque de género y étnico a la totalidad de la  población víctima del conflicto que así lo requiera</t>
  </si>
  <si>
    <t>ATENCIÓN, ASISTENCIA Y REPARACIÓN INTEGRAL A LAS VÍCTIMAS</t>
  </si>
  <si>
    <t>Numero de Albergues de atención inmediata (interna y externa) funcionando en el Distrito</t>
  </si>
  <si>
    <t>Un albergue  de
Atención Humanitaria en 2019.
Fuente:  SICC</t>
  </si>
  <si>
    <t xml:space="preserve">Medidas de Satisfacción a Población Victima
en el Distrito.
</t>
  </si>
  <si>
    <t xml:space="preserve">0
Fuente: Secretaría del Interior
</t>
  </si>
  <si>
    <t xml:space="preserve">Realizar en un 100% medidas de satisfacción a
Población Victima en el Distrito.
</t>
  </si>
  <si>
    <t xml:space="preserve">Número de acciones afirmativas de reconocimiento  de memoria histórica realizadas </t>
  </si>
  <si>
    <t>2 acciones afirmativas  realizadas en 2019.
Fuente: SICC</t>
  </si>
  <si>
    <t>Porcentaje de atención a  los integrantes de la mesa Distrital de Victimas.</t>
  </si>
  <si>
    <t xml:space="preserve">Mesa Distrital de Victimas integrada
por 24 lideres
</t>
  </si>
  <si>
    <t xml:space="preserve">Garantizar que el 100% de  los miembros de la mesa Distrital de Víctimas accedan a incentivos técnicos y
logísticos para la participación
efectiva.
</t>
  </si>
  <si>
    <t>Número de representantes de  organizaciones de víctimas asistidas técnicamente</t>
  </si>
  <si>
    <t xml:space="preserve">22 representantes de las organizaciones victima  recibieron
incentivos técnicos y logísticos en 2019
Fuente: SICC
</t>
  </si>
  <si>
    <t>Numero de Planes de Acción Territorial- PAT aprobados.</t>
  </si>
  <si>
    <t>PAT 201-2019 aprobado mediante decreto 1755 de 2016.</t>
  </si>
  <si>
    <t xml:space="preserve">Porcentaje de Personas víctimas del conflicto que accede a
procesos de atención sicosocial
</t>
  </si>
  <si>
    <t xml:space="preserve">9%
(7335 fueron atendidas psicosocialmente en el cuatrienio 2016-2019)
 Fuente: RUV-Secretaría del Interior
</t>
  </si>
  <si>
    <t xml:space="preserve">Aumentar a 12% el porcentaje de víctimas del conflicto asentada
en el Distrito  que accede a  procesos de atención Psicosocial.
</t>
  </si>
  <si>
    <t xml:space="preserve">Número de personas víctimas
del conflicto que
acceden  a procesos de
atención psicosocial
</t>
  </si>
  <si>
    <t>736 atendidas psicosocialmente solo en 2019
Fuente: SICC</t>
  </si>
  <si>
    <t>NO TIENE</t>
  </si>
  <si>
    <t>CONSTRUCCIÓN DE PAZ TERRITORIAL</t>
  </si>
  <si>
    <t>Número de encuentros Convivencia y reconciliación en las Localidades realizados</t>
  </si>
  <si>
    <t>Número de Informes y recomendaciones de la Comisión de la Verdad adoptados</t>
  </si>
  <si>
    <t>Numero de divulgaciones y socializaciones del Acuerdo de Paz  en las Unidades Comuneras de Gobierno urbanas y Rurales realizada</t>
  </si>
  <si>
    <t xml:space="preserve">PARTICIPACIÓN Y DESCENTRALIZACIÓN </t>
  </si>
  <si>
    <t xml:space="preserve">Porcentaje de ejecución de los proyectos de
presupuesto participativo  priorizados por la comunidad.
</t>
  </si>
  <si>
    <t xml:space="preserve">Realizar  priorización  y ejecución del 100% de los proyectos por  Presupuesto Participativo en el Distrito de Cartagena </t>
  </si>
  <si>
    <t>PRESUPUESTO PARTICIPATIVO</t>
  </si>
  <si>
    <t>Número de priorizaciones de proyectos de presupuesto realizadas.</t>
  </si>
  <si>
    <t xml:space="preserve">Última priorización realizada en 2009.
Fuente:SICC </t>
  </si>
  <si>
    <t>Número de proyectos por presupuesto participativo ejecutados.</t>
  </si>
  <si>
    <t>EJE TRANSVERSAL: CARTAGENA CON ATENCIÓN Y GARANTIA DE DERECHOS A POBLACIÓN DIFERENCIAL.</t>
  </si>
  <si>
    <t xml:space="preserve">EQUIDAD E INCLUSIÓN DE LOS NEGROS, AFROS, PALENQUEROS E INDIGENAS </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</si>
  <si>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</si>
  <si>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</si>
  <si>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DE LA POBLACIÓN NEGRA, AFROCOLOMBIANA, RAIZAL Y PALENQUERA EN EL DISTRITO DE CARTAGENA</t>
  </si>
  <si>
    <t>Planes Administrativos de Territorio</t>
  </si>
  <si>
    <t>7 de 33 Consejos comunitarios tienen reglamentos internos y planes de etnodesarrollo.</t>
  </si>
  <si>
    <t>Número de funcionarios de la alcaldía distrital formados en enfoque étnico</t>
  </si>
  <si>
    <t xml:space="preserve"> Porcentaje de la Población del Distrito de Cartagena protegida con derechos garantizados con la formulación, reformulación y ejecución de Políticas Publicas Poblacionales.</t>
  </si>
  <si>
    <t xml:space="preserve">100%
(1.003.625. Fuente: CNPV. - DANE. 2018)
</t>
  </si>
  <si>
    <t>Lograr que el 70% de la población del Distrito de Cartagena, se encuentre protegida con derechos garantizados con la formulación, reformulación y ejecución de Políticas  Publicas Poblacionales.</t>
  </si>
  <si>
    <t>FORTALECIMIENTO DE LA POBLACIÓN INDÍGENA EN EL DISTRITO DE CARTAGENA</t>
  </si>
  <si>
    <t xml:space="preserve">Número de Cabildos
indígenas asentados en el Distrito con Planes de Vida 
</t>
  </si>
  <si>
    <t>Encuentros  de autoridades tradicionales indígenas de la región Caribe realizados en  el Distrito de Cartagena</t>
  </si>
  <si>
    <t>Centro de Estudio de Pensamiento Mayor Indígenas Intercultural.</t>
  </si>
  <si>
    <t>INTEGRIDAD CULTURAL, GOBIERNO PROPIO, VIVIENDA Y HABITAT PARA LAS COMUNIDADES INDIGENAS EN EL DISTRITO CARTAGENA</t>
  </si>
  <si>
    <t>Jurisdicción especial Indígena JEI aplicada</t>
  </si>
  <si>
    <t>Adecuar la estación de Bomberos de Bocagrande para que brinde respuestas terrestres y acuáticas.</t>
  </si>
  <si>
    <t>Construir una nueva estación de Bomberos terrestre en el Distrito de Cartagena</t>
  </si>
  <si>
    <t>Dotar con equipos operativos de rescate técnico, contra incendios y materiales peligrosos las 3 estaciones de bomberos del Distrito de Cartagena.
(No es PDT, la escrita aquí corresponde al producto en el proyecto de inversión)</t>
  </si>
  <si>
    <t xml:space="preserve"> Operativos para la seguridad y la convivencia realizados</t>
  </si>
  <si>
    <t>Consejos comunitarios de seguridad realizados</t>
  </si>
  <si>
    <t>Un Centro de Traslado por Protección-CTP en funcionamiento anualmente en el Distrito de Cartagena.</t>
  </si>
  <si>
    <t>Implementar Iniciativas para la promoción de la convivencia en el Distrito de Cartagena</t>
  </si>
  <si>
    <t>Modernizar en sus condiciones operativas y de infraestructura las Inspecciones de policía en el Distrito de Cartagena.</t>
  </si>
  <si>
    <t>Realizar  operativos de control a espectáculos públicos en el Distrito</t>
  </si>
  <si>
    <t>Casas de Justicia operando en el Distrito con instalaciones en óptimas condiciones</t>
  </si>
  <si>
    <t>Informar a las  personas  a través de  campañas de divulgación de las rutas de atención del programa para el uso del servicio público de    acceso  a la justicia.</t>
  </si>
  <si>
    <t>Adecuar  las comisarías de familias existentes en el Distrito con una infraestructura óptima y un modelo de gestión e información eficaz.</t>
  </si>
  <si>
    <t>Realizar Jornadas de información y  promoción de  los Métodos alternativos de solución de conflictos- MASC- en el Distrito de Cartagena</t>
  </si>
  <si>
    <t>Realizar una caracterización de los  grupos de pandillas y sus integrantes en el Distrito de Cartagena</t>
  </si>
  <si>
    <t>Atender  Psicosocialmente  a  Niños, niñas,  adolescentes y jóvenes en riesgo de vincularse a actividades delictivas</t>
  </si>
  <si>
    <t>Apoyar y hacer seguimiento a  Iniciativas juveniles de  emprendimiento en el Distrito de Cartagena.</t>
  </si>
  <si>
    <t>Garantizar anualmente una estrategia  de atención integral para la atención de  jóvenes y adolescentes  del Distrito de Cartagena en el  Sistema de Responsabilidad Penal para Adolescentes- SRP</t>
  </si>
  <si>
    <t>Garantizar que  personas en proceso de  reintegración y reincorporación en el Distrito  de Cartagena accedan a beneficio de inserción económica (creación y/o fortalecimiento)</t>
  </si>
  <si>
    <t>Realizar acciones afirmativas de reconocimiento y legitimación de la labor de los defensores de DDHH, líderes y lideresas sociales en el Distrito de Cartagena.</t>
  </si>
  <si>
    <t>Garantizar el funcionamiento de un Equipo de Acción Inmediata (EAI) a nivel territorial para operativizar las rutas de prevención temprana, urgente y de protección en materia DDHH  en el Distrito de Cartagena.</t>
  </si>
  <si>
    <t>Crear y dotar  un Centro de Atención al migrante en el Distrito de Cartagena con apoyo de la cooperación internacional.</t>
  </si>
  <si>
    <t>Reglamentar una mesa  técnica de refugiados,  migrantes y retornados en el Distrito de Cartagena.</t>
  </si>
  <si>
    <t>Garantizar la operación del Consejo de Paz, Reconciliación, Convivencia y DDHH en el Distrito de Cartagena</t>
  </si>
  <si>
    <t>Comité intersectorial de libertad religiosa creado como espacio de interlocución con la administración, garantizando la participación de todas las confesiones y entidades religiosas del Municipio</t>
  </si>
  <si>
    <t>Aumentar  el número de guardias de seguridad en la Cárcel Distrital de Cartagena para el cuatrienio</t>
  </si>
  <si>
    <t>Garantizar que  las personas privadas de la libertad (PPL) en la Cárcel Distrital sean vinculadas a programas psicosociales</t>
  </si>
  <si>
    <t xml:space="preserve">Suscribir anualmente un convenio con el INPEC </t>
  </si>
  <si>
    <t>Garantizar  el funcionamiento de 2 albergues  de atención inmediata (interna y externa) anualmente.</t>
  </si>
  <si>
    <t>Realizar  acciones afirmativas de reconocimiento  de memoria histórica en el cuatrienio.</t>
  </si>
  <si>
    <t xml:space="preserve">Garantizar que anualmente  los representantes de la organizaciones de  victimas  en el Distrito reciban incentivos técnicos y logísticos para su participación. </t>
  </si>
  <si>
    <t>Adoptar un Plan de Acción Territorial- PAT para el cuatrienio 2020-2023</t>
  </si>
  <si>
    <t xml:space="preserve">Garantizar que personas víctimas
del conflicto 
accedan  a procesos de
atención psicosocial en el cuatrienio.
</t>
  </si>
  <si>
    <t>Realizar 3 encuentros anualmente para Fomentar la Convivencia y la reconciliación en las Localidades</t>
  </si>
  <si>
    <t>Adoptar el informe y las recomendaciones de la comisión de la verdad para Cartagena</t>
  </si>
  <si>
    <t>Divulgar y socializar  los Acuerdos de Paz en las Unidades Comuneras de Gobierno Urbanas y Rurales</t>
  </si>
  <si>
    <t>Realizar una priorización de proyectos de presupuesto participativo en cada una de las  UCG urbanas y rurales en el Distrito de Cartagena.</t>
  </si>
  <si>
    <t>Ejecutar proyectos priorizados por presupuesto participativo en el Distrito de Cartagena.</t>
  </si>
  <si>
    <t xml:space="preserve">Elaborar Planes Administrativos de Territorio  </t>
  </si>
  <si>
    <t>Formar  funcionarios de la alcaldía distrital en enfoque étnico</t>
  </si>
  <si>
    <t>Aumentar el Número  de Cabildos indígenas asentados en el Distrito con Planes de Vida</t>
  </si>
  <si>
    <t>Realizar Encuentros  de autoridades tradicionales indígenas de la región Caribe realizados en el Distrito de Cartagena</t>
  </si>
  <si>
    <t xml:space="preserve">Diseñar el Centro de Estudio de Pensamiento 
 Mayor Indígenas Intercultural.
</t>
  </si>
  <si>
    <t>Fortalecer la capacidad de gestión y desarrollo institucional para consolidar la modernización de las estaciones existentes, maquinaria y demás dotaciones del Cuerpo de Bomberos.</t>
  </si>
  <si>
    <t>Fortalecimiento de los mecanismos comunitarios e institucionales  de prevención y reacción a situaciones de riesgo por conductas delictivas en el Distrito de Cartagena de Indias</t>
  </si>
  <si>
    <t>2020-13001-0037</t>
  </si>
  <si>
    <t xml:space="preserve">Promover la participación ciudadana en la prevención de la delincuencia y la  disminución de miedo </t>
  </si>
  <si>
    <t>Mejoramiento de  la convivencia  con  la implementación del código nacional de seguridad y convivencia  ciudadana y la modernización de las inspecciones de policía  en el Distrito de Cartagena.</t>
  </si>
  <si>
    <t>2020-13001-0031</t>
  </si>
  <si>
    <t>Implementar el  Centro de Traslado por Protección-CTP en el Distrito de Cartagena.</t>
  </si>
  <si>
    <t>Diseñar e implementar estrategias para la promoción de la convivencia en el Distrito de Cartagena.</t>
  </si>
  <si>
    <t xml:space="preserve"> Garantizar la operación de las inspecciones de Policía del Distrito de Cartagena con dotación adecuada y fortalecidas en infraestructura.</t>
  </si>
  <si>
    <t>Fortalecimiento de la capacidad operativa de la Secretaría del Interior y Convivencia Ciudadana</t>
  </si>
  <si>
    <t>2020-13001-0210</t>
  </si>
  <si>
    <t>Contratar los equipos humanos, administrativos y operativos, destinados a la implementación del modelo de gestión de la SICC para el ejercicio adecuado, oportuno y permanente del control sobre las conductas ciudadanas que violan normas de  convivencia.</t>
  </si>
  <si>
    <t xml:space="preserve">Fortalecimiento y promoción al acceso a la Justicia desde las Casas de justicia y Comisarias de Familia en el Distrito de Cartagena de Indias. </t>
  </si>
  <si>
    <t>2020-13001-0030</t>
  </si>
  <si>
    <t>Garantizar que las Casas de justicia y comisarias de familia sean dotadas y fortalecidas en infraestructura con criterio de sostenibilidad ambiental, bajo un modelo de gestión e información eficaz y  con una oferta institucional consolidada</t>
  </si>
  <si>
    <t>Realizar campañas de divulgación sobre las rutas para la atención y prevención de la violencia intrafamiliar y  el uso del servicio público de  acceso  a la justicia.</t>
  </si>
  <si>
    <t>Realizar jornadas de información y promoción de los  métodos de resolución de conflictos-MASC.</t>
  </si>
  <si>
    <t>Asistencia y atención integral a los niños, niñas,  jóvenes  y adolescentes en riesgo de vinculación a  actividades delictivas y  aquellos en conflicto con la ley penal en el Distrito de Cartagena de Indias</t>
  </si>
  <si>
    <t>2020-13001-0084</t>
  </si>
  <si>
    <t>Apoyar proceso de asistencia y atención de niños, niñas,  adolescentes y jóvenes en riesgo de vincularse a actividades delictivas en el Distrito garantizando su acceso a servicios de atención psicosocial  e Iniciativas de  emprendimiento juvenil.</t>
  </si>
  <si>
    <t>Apoyar estrategias de atención integral para los jóvenes adolescentes del Distrito de Cartagena que están en el Sistema de Responsabilidad Penal para Adolescentes -SRPA.</t>
  </si>
  <si>
    <t>Vincular a la población en proceso de reintegración y reincorporación social a iniciativas de inserción económica en el Distrito de Cartagena.</t>
  </si>
  <si>
    <t>Implementar mecanismos y estrategias que garanticen la prevención, promoción y protección de los derechos humanos en el Distrito de Cartagena</t>
  </si>
  <si>
    <t>Creación con la ayuda de cooperación internacional, del centro transitorio de atención al migrante en el Distrito de Cartagena</t>
  </si>
  <si>
    <t>Fortalecimiento y Atención Integral a Internos de los Establecimientos Carcelarios del Distrito de  Cartagena de Indias</t>
  </si>
  <si>
    <t>2020-13001-0032</t>
  </si>
  <si>
    <t>Coordinar con el gobierno departamental y Nacional las acciones administrativas, financieras, jurídicas y logísticas que permitan la reubicación y traslado de la Cárcel Distrital de Cartagena a inmueble propio.</t>
  </si>
  <si>
    <t>Brindar servicios de atención primaria (alimentación, salud,  comunicación familiar, psicosocial, jurídica y custodia) a las reclusas que permitan mejorar sus condiciones físicas y Psicológicas al interior del establecimiento carcelario.</t>
  </si>
  <si>
    <t>Mejorar las condiciones de alojamiento de la población masculina recluida en el Establecimiento Penitenciario de Mediana Seguridad y Carcelario de Cartagena con medida de aseguramiento de detención preventiva impuesta</t>
  </si>
  <si>
    <t xml:space="preserve"> Asistencia, atención y reparación integral a las víctimas del conflicto Armado en el Distrito de Cartagena de Indias</t>
  </si>
  <si>
    <t>2020-13001-0061</t>
  </si>
  <si>
    <t>Garantizar el acceso de las víctimas del conflicto armado en el Distrito de Cartagena a las medidas de asistencia y atención integral mediante la implementación de los albergues de ayuda humanitaria inmediata (interna y externa).</t>
  </si>
  <si>
    <t>Garantizar y velar por la implementación de medidas de satisfacción y participación efectiva a favor de las víctimas en el Distrito de Cartagena que aseguren la preservación de la memoria histórica y el restablecimiento de la dignidad de las víctimas.</t>
  </si>
  <si>
    <t>Garantizar el acceso de las víctimas del conflicto armado a medidas de atención Psicosocial con enfoque de género, diferencial y étnico en el Distrito de Cartagena.</t>
  </si>
  <si>
    <t>Construcción de  paz Territorial en el Distrito de Cartagena.</t>
  </si>
  <si>
    <t>2020-13001-0187</t>
  </si>
  <si>
    <t>Divulgar  los acuerdos de paz y fomentar la convivencia y la reconciliación en el  Distrito de Cartagena.</t>
  </si>
  <si>
    <t>Adoptar el informe y las recomendaciones de la comisión de la verdad para Cartagena generando condiciones y garantía de no repetición.</t>
  </si>
  <si>
    <t>Se formulan e inscriben posterior a la priorización.</t>
  </si>
  <si>
    <t>Brindar asistencia técnica para la elaboración de los Planes Administrativos  del Territorio (reglamentos internos y planes de etnodesarrollo), con el propósito de proteger el territorio de estas comunidades y promover la conservación de sus costumbres, prácticas socio-económicas y de sus activos ambientales.</t>
  </si>
  <si>
    <t>Implementar proceso de capacitación en enfoque diferencial étnico con  funcionarios de la Alcaldía Mayor de Cartagena de Indias.</t>
  </si>
  <si>
    <t xml:space="preserve">Realizar asistencia técnica a los cabildos indígenas asentados en el Distrito para la formulación de sus planes de vida con enfoque diferencial. </t>
  </si>
  <si>
    <t>Promover el Centro de Estudio de Pensamiento Mayor Indígena Intercultural-CEMI y el intercambio ancestral de conocimientos como forma de reafirmar identidades y practicas propias de los pueblos indígenas en el Distrito.</t>
  </si>
  <si>
    <t>Implementar  la Jurisdicción especial Indígena- JEI en el Distrito  en el marco de la democracia participativa e inclusiva</t>
  </si>
  <si>
    <t>Número</t>
  </si>
  <si>
    <t>Numero de Centros de Traslado por Protección en funcionamiento.</t>
  </si>
  <si>
    <t>DOTACIÓN DEL CUERPO DE BOMBEROS PARA OPTIMIZAR SU NIVEL DE ANTICIPACIÓN Y MITIGACIÓN DE INCENDIOS Y OTRAS CALAMIDADES CONEXAS EN EL DISTRITO DE CARTAGENA DE INDIAS</t>
  </si>
  <si>
    <t xml:space="preserve">2021-13001-0142  </t>
  </si>
  <si>
    <t>GENERACIÓN DE UNA CULTURA DE PREVENCIÓN, PROMOCIÓN Y PROTECCIÓN DE LOS DERECHOS HUMANOS CON ENFOQUE DIFERENCIAL Y DE GÉNERO EN EL DISTRITO DE CARTAGENA DE INDIAS</t>
  </si>
  <si>
    <t xml:space="preserve">2021-13001-0143 </t>
  </si>
  <si>
    <t>FORTALECIMIENTO DEL PROCESO ORGANIZATIVO Y ATENCIÓN DIFERENCIAL A LA POBLACIÓN NEGRA, AFRODESCENDIENTE, RAIZAL Y PALENQUERA EN EL DISTRITO DE CARTAGENA DE INDIAS</t>
  </si>
  <si>
    <t xml:space="preserve">2021-13001-0148 </t>
  </si>
  <si>
    <t>FORTALECIMIENTO DE LA GOBERNANZA Y LA AUTODETERMINACIÓN DE LA CULTURA E INSTITUCIONES PROPIAS DE LA POBLACIÓN INDIGENA EN EL DISTRITO DE CARTAGENA DE INDIAS.</t>
  </si>
  <si>
    <t xml:space="preserve">2021-13001-0145 </t>
  </si>
  <si>
    <t>META CUMPLIDA</t>
  </si>
  <si>
    <t xml:space="preserve">dotar  un Centro de Atención al migrante en el Distrito de Cartagena </t>
  </si>
  <si>
    <t>Se adopta Informe</t>
  </si>
  <si>
    <t>NO SE PROGRAMA POR QUE EN ACUERDO 083 DE 16/12/2021 NO SE APROBÓ PRESUPUESTO PARA ESTE PROGRAMA</t>
  </si>
  <si>
    <t>PROGRAMA SIN ASIGNACIONES PRESUPUESTALES EN LAS VIGENCIAS 2020-2021-</t>
  </si>
  <si>
    <t>33  en sus condiciones operativas</t>
  </si>
  <si>
    <t>meta cumplida. caracterización realizada en el primer semestre 2021</t>
  </si>
  <si>
    <t>1 centro inaugurado en 2021 y en funcionamiento</t>
  </si>
  <si>
    <t>1 Consejo de Paz, Reconciliación, Convivencia y DDHH operando en el Distrito de Cartagena</t>
  </si>
  <si>
    <t>1 Comité intersectorial de libertad religiosa  creado mediante decreto en el Distrito</t>
  </si>
  <si>
    <t>1 mesa  técnica de refugiados,  migrantes y retornados reglamentada mediante decreto en el Distrito</t>
  </si>
  <si>
    <t>Un PAT aprobado y adoptado mediante decreto</t>
  </si>
  <si>
    <t>Todas las 6 comisarias dotadas con el personal requerido.</t>
  </si>
  <si>
    <t>Adecuar la estación de Bomberos de Bocagrande para que brinde respuestas terrestres y acuáticas</t>
  </si>
  <si>
    <t>Adquisición de herramientas, equipos y accesorios adecuados para la prestación de servicios bomberiles en las 3 estaciones de Bomberos existentes</t>
  </si>
  <si>
    <t>Contratar por prestación de servicios el equipo humano administrativo, técnico y jurídico que soporte la gestión y desarrollo institucional del cuerpo de Bomberos.</t>
  </si>
  <si>
    <t>Sujeta a la incorporación de recursos por sobretasa bomberil  no ejecutados 2021</t>
  </si>
  <si>
    <t>Todos los habitantes y visitantes del Distrito de Cartagena</t>
  </si>
  <si>
    <t>3 estaciones bomberiles
Todos los habitantes y visitantes del Distrito de Cartagena</t>
  </si>
  <si>
    <t>Todos los habitantes y visitantes  del Distrito de Cartagena</t>
  </si>
  <si>
    <t>Realizar operativos mensuales para el restablecimiento de la seguridad y convivencia en los puntos más críticos de la ciudad</t>
  </si>
  <si>
    <t>Realizar mensualmente consejos comunitarios  de  seguridad en los barrios con mayores índices de violencia.</t>
  </si>
  <si>
    <t xml:space="preserve">Garantizar el funcionamiento de un Centro de Traslado por Protección-CTP en el Distrito. </t>
  </si>
  <si>
    <t>Diseñar e Implementar 2 Iniciativas para la promoción de la convivencia en el Distrito</t>
  </si>
  <si>
    <t>Dotar con elementos de protección personal y de bioseguridad a la totalidad de los funcionarios y personal que presta sus servicios en  las 33 inspecciones de policía para el cumplimiento de sus funciones en el marco de Covid-19.</t>
  </si>
  <si>
    <t>Contratar el equipo jurídico y  técnico (arquitectos y/0 ingenieros) requerido para el funcionamiento de las Inspecciones de Policía.</t>
  </si>
  <si>
    <t>Realizar los trámites presupuestales que garanticen trasferir mensualmente el 15% del recaudo de las multas del codigo de policia  a la Policia Metropolitana para el funcionamiento e infraestructura del Registro Nacional de Medidas Correctivas</t>
  </si>
  <si>
    <t>Realizar operativos de control a espectáculos públicos en el Distrito de Cartagena</t>
  </si>
  <si>
    <t>Contratar el equipo jurídico y Psicosocial  de las casas de justicia y comisarias de familia con el  perfil requerido y de manera permanente</t>
  </si>
  <si>
    <t>Informar a 1000  personas  a través de  campañas de divulgación de las rutas de atención del programa para el uso del servicio público de    acceso  a la justicia.</t>
  </si>
  <si>
    <t>Dotar las tres casas de justicia y las 6 comisarías de familia  con los insumos de papelería  y movibilidad (vehiculos) necesarios.</t>
  </si>
  <si>
    <t>Realizar  Jornadas de información y  promoción de  los Métodos alternativos de solución de conflictos- MASC-</t>
  </si>
  <si>
    <t>Atender Psicosocialmente   a  Niños, niñas,  adolescentes y jóvenes en riesgo de vincularse a actividades delictivas</t>
  </si>
  <si>
    <t>Apoyar estrategia   para  la atención integral de los jóvenes y adolescentes de Cartagena en el Sistema de Responsabilidad Penal para Adolescentes – SRPA.</t>
  </si>
  <si>
    <t>Dotar  un Centro de Atención al migrante en el Distrito de Cartagena</t>
  </si>
  <si>
    <t>Garantizar operación del Consejo de Paz, Reconciliación, Convivencia y DDHH en el Distrito de Cartagena  y funcionmiento de sus mesas tematicas.</t>
  </si>
  <si>
    <t xml:space="preserve">Garantizar operación del comité intersectorial de libertad religiosa  en el Distrito de Cartagena </t>
  </si>
  <si>
    <t>Garantizar arriendo de un bien inmueble con destino al funcionamiento del establecimiento de reclusión a las personas detenidas preventivamente de manera transitoria- COVID19.</t>
  </si>
  <si>
    <t>Realizar todos los tramites administrativos ante la DATH  que permitan aumentar  el número de guardias de seguridad en la Cárcel Distrital de Cartagena.</t>
  </si>
  <si>
    <t>Vincular a programas de atención psicosocial   las personas privadas de la libertad (PPL) en la Cárcel Distrital de Mujeres</t>
  </si>
  <si>
    <t>Suscribir convenio interadministrativo con el INPEC</t>
  </si>
  <si>
    <t xml:space="preserve"> Contratar el personal humano para desarrollar acciones administrativas, medicas,odontológicas, jurídicas, psicológicas y sociales  en la Carcel Distrital</t>
  </si>
  <si>
    <t>Adquirir elementos de bioseguridad y protección personal para hacer frente a la pandemia COVID-19 en el establecimiento carcelario.</t>
  </si>
  <si>
    <t>Contratar servicio de transportes que permita el cumplimiento de las remisiones judiciales y médicas</t>
  </si>
  <si>
    <t>Contratar  albergues de ayuda humanitaria inmediata (interna y externa) según especificaciones técnicas normativas.</t>
  </si>
  <si>
    <t>Realizar  acciones afirmativas de reconocimiento  de memoria histórica a población victima en el Distrito.</t>
  </si>
  <si>
    <t>Brindar todos los Incentivos técnicos y logísticos que la ley estipula para garantizar la participación efectiva de las víctimas.</t>
  </si>
  <si>
    <t>Hacer seguimiento a la ejecución del  Plan de Acción Territorial- PAT para el cuatrienio 2020-2023</t>
  </si>
  <si>
    <t>Brindar  atención sicosocial a víctimas del conflicto en el Distrito con enfoque de género, diferencial y étnico</t>
  </si>
  <si>
    <t>Realizar encuentros para Fomentar la Convivencia y la reconciliación en las Localidades</t>
  </si>
  <si>
    <t xml:space="preserve">Adoptar el informe de la comisión de la verdad y ejecutar las recomendaciones para Cartagena.
</t>
  </si>
  <si>
    <t>Acompañar la construcción de los Planes Administrativos  del Territorio (reglamentos internos y planes de etnodesarrollo) en los consejos comunitarios.</t>
  </si>
  <si>
    <t>Capacitar a   funcionarios de la alcaldía distrital en enfoque étnico</t>
  </si>
  <si>
    <t>Diseñar el Centro de Estudio de Pensamiento 
 Mayor Indígenas Intercultural-CEMI en el Distrito con apoyo de la Cooperación nacional y/o internacional.</t>
  </si>
  <si>
    <t>Formulación de los planes de vida con enfoque diferencial en las comunidades indígenas</t>
  </si>
  <si>
    <t>Realizar Encuentros de autoridades Tradicionales indígenas de la región Caribe en el Distrito de Cartagena</t>
  </si>
  <si>
    <t>Contratar los servicios logísticos  para apoyar  la implementación de la Jurisdicción especial Indígena- JEI en el Distrito.</t>
  </si>
  <si>
    <t xml:space="preserve"> PLAN DE ACCIÓN
DEPENDENCIA: SECRETARIA DEL INTERIOR Y CONVIVENCIA CIUDADANA
VIGENCIA 2022</t>
  </si>
  <si>
    <t>9 ( 3 casas de justicia  y 6 comisarias)</t>
  </si>
  <si>
    <t xml:space="preserve"> jovenes del SRPA</t>
  </si>
  <si>
    <t>Todos los habitantes del Distrito de Cartagena que requieran protección</t>
  </si>
  <si>
    <t>Por demanda de atención de población migrante</t>
  </si>
  <si>
    <t>La totalidad de las internas de la Carcel Distrital.</t>
  </si>
  <si>
    <t>Por demanda. PPL  que se encuentran bajo custodia de la Policía Metropolitana de Cartagena</t>
  </si>
  <si>
    <t>La totalidad de poblacion sindicada recluida en la Carcel de Ternera que es de 800</t>
  </si>
  <si>
    <t>Por demanda de atención de población victima</t>
  </si>
  <si>
    <t xml:space="preserve">Toda la población victima en el Distrito que según Unidad para la Atención y Integral a las Víctimas Reparación  asciende a 83.619 </t>
  </si>
  <si>
    <t>Todos los habitantes de Cartagena</t>
  </si>
  <si>
    <t>8 consejos comunitarios</t>
  </si>
  <si>
    <t>Todas las comunidades indigenas asentadas en el Distrito</t>
  </si>
  <si>
    <t>3  cabildos indigenas</t>
  </si>
  <si>
    <t>David Alfonso Munera Cavadia</t>
  </si>
  <si>
    <t xml:space="preserve">2021-13001-0275 </t>
  </si>
  <si>
    <t>Fortalecimiento del Sistema de Responsabilidad Penal para Adolescentes- SRPA en el Distrito de Cartagena de Indias.</t>
  </si>
  <si>
    <t>IMPLEMENTACIÓN DE LA JURISDICCIÓN ESPECIAL INDÍGENA- JEI EN EL DISTRITO DE         CARTAGENA DE INDIAS</t>
  </si>
  <si>
    <t xml:space="preserve">2021-13001-0276 </t>
  </si>
  <si>
    <t xml:space="preserve">Secretaría del Interior y Convivencia Ciudadana </t>
  </si>
  <si>
    <t>Joel Barrios 
Comandante cuerpo  de Bomberos de Cartagena</t>
  </si>
  <si>
    <t>Inversión</t>
  </si>
  <si>
    <t>Inversión y funcionamiento</t>
  </si>
  <si>
    <t>Recursos propios-SOBRETASA BOMBERIL</t>
  </si>
  <si>
    <t>Recursos propios-SOBRETASA BOMBERIL Y VENTA DE SERVICIOS BOMBERILES</t>
  </si>
  <si>
    <t>Recursos propios-ICLD</t>
  </si>
  <si>
    <t>FORTALECIMIENTO DEL CUERPO DE BOMBEROS DEL DISTRITO DE   CARTAGENA DE INDIAS</t>
  </si>
  <si>
    <t>2.3.4503.1000.2021130010142</t>
  </si>
  <si>
    <t>2.3.4501.1000.2020130010037</t>
  </si>
  <si>
    <t>FORTALECIMIENTO DE LOS MECANISMOS COMUNITARIOS  E INSTITUCIONALES DE PREVENCIÓN Y REACCIÓN A SITUACIONES DE RIESGO POR CONDUCTAS DELICTIVAS EN EL DISTRITO DE   CARTAGENA DE INDIAS</t>
  </si>
  <si>
    <t>Recursos propios- MULTAS CODIGO NACIONAL DE POLICIA Y CONVIVENCIA</t>
  </si>
  <si>
    <t>MEJORAMIENTO DE LA CONVIVENCIA CON LA IMPLEMENTACIN DEL CODIGO NACIONAL DE SEGURIDAD Y CONVIVENCIA CIUDADANA  Y  LA MODERNIZACIN DE LAS INSPECCIONES DE POLICA EN EL DISTRITO DE  CARTAGENA DE INDIAS</t>
  </si>
  <si>
    <t>2.3.4501.1000.2020130010031</t>
  </si>
  <si>
    <t>Depende de las incorporaciones de recursos</t>
  </si>
  <si>
    <t>FORTALECIMIENTO DE LA CAPACIDAD OPERATIVA  DE LA SECRETARÍA DEL INTERIOR Y CONVIVENCIA CIUDADANA  CARTAGENA DE INDIAS</t>
  </si>
  <si>
    <t>2.3.4501.1000.2020130010210</t>
  </si>
  <si>
    <t>2.3.1202.0800.2020130010030</t>
  </si>
  <si>
    <t>FORTALECIMIENTO Y PROMOCIÓN AL ACCESO A LA JUSTICIA DESDE LAS CASAS DE JUSTICIA Y COMISARIAS DE FAMILIA EN EL DISTRITO DE   CARTAGENA DE INDIAS</t>
  </si>
  <si>
    <t>2.3.4103.1500.2020130010084</t>
  </si>
  <si>
    <t>ASISTENCIA Y ATENCIÓN INTEGRAL A LOS NIÑOS, NIÑAS,  JÓVENES  Y ADOLESCENTES EN RIESGO DE VINCULACIÓN A  ACTIVIDADES DELICTIVAS Y  AQUELLOS EN CONFLICTO CON LA LEY PENAL EN EL DISTRITO DE   CARTAGENA DE INDIAS</t>
  </si>
  <si>
    <t>FORTALECIMIENTO DEL SISTEMA DE RESPONSABILIDAD PENAL PARA ADOLESCENTES- SRPA EN EL CARTAGENA DE INDIAS</t>
  </si>
  <si>
    <t>2.3.4102.1000.2021130010275</t>
  </si>
  <si>
    <t>2.3.4502.1000.2021130010143</t>
  </si>
  <si>
    <t xml:space="preserve">FORTALECIMIENTO Y ATENCION INTEGRAL A INTERNOS DE LOS ESTABLECIMIENTOS CARCELARIOS DEL DISTRITO DE  CARTAGENA DE INDIAS </t>
  </si>
  <si>
    <t>2.3.1206.0800.2020130010032</t>
  </si>
  <si>
    <t>ASISTENCIA ATENCIÓN Y REPARACIÓN INTEGRAL A LAS VÍCTIMAS DEL CONFLICTO ARMADO EN EL DISTRITO DE   CARTAGENA DE INDIAS</t>
  </si>
  <si>
    <t>2.3.4103.1500.2020130010061</t>
  </si>
  <si>
    <t>CONSTRUCCIÓN DE PAZ TERRITORIAL EN EL DISTRITO DE   CARTAGENA DE INDIAS</t>
  </si>
  <si>
    <t>2.3.4103.1500.2020130010187</t>
  </si>
  <si>
    <t>2.3.4502.1000.2021130010148</t>
  </si>
  <si>
    <t>IMPLEMENTACIÓN DE LA JURISDICCIÓN ESPECIAL INDÍGENA- JEI EN EL DISTRITO DE CARTAGENA DE INDIAS</t>
  </si>
  <si>
    <t>2.3.4502.1000.2021130010276</t>
  </si>
  <si>
    <t xml:space="preserve">FORTALECIMIENTO DE LA GOBERNANZA Y AUTODETERMINACION DE LA CULTURA E INSTITUCIONES PROPIAS DE LA POBLACION INDIGENA EN EL DISTRITO DE CARTAGENA DE INDIAS </t>
  </si>
  <si>
    <t>2.3.4502.1000.2021130010145</t>
  </si>
  <si>
    <t>Dotar a la Carcel con  equipos tecnologicos  (computadores e impresoras), insumos de papeleria y   dispositivos odontológicos y médicos.</t>
  </si>
  <si>
    <t>N/A</t>
  </si>
  <si>
    <t>NO SE PROGRAMAN ACTIVIDADES PORQUE EN ACUERDO 083 DE 16/12/2021 NO SE APROBÓ PRESUPUESTO PARA ESTE PROGRAMA</t>
  </si>
  <si>
    <t>SI</t>
  </si>
  <si>
    <t>NO</t>
  </si>
  <si>
    <t>Tasa de homicidio por cien mil habitantes (por curso de vida)</t>
  </si>
  <si>
    <t>19,02
Fuente Policía Metropolitana</t>
  </si>
  <si>
    <t>Reducir a  17,02  la Tasa de Homicidios en el Distrito de Cartagena (por curso de vida)</t>
  </si>
  <si>
    <t xml:space="preserve">PLAN INTEGRAL DE SEGURIDAD Y CONVIVENCIA CIUDADANA
</t>
  </si>
  <si>
    <t>Plan Integral de  Seguridad y Convivencia Ciudadana-PISCC 2020-2023 formulado y ejecutado</t>
  </si>
  <si>
    <t>PISCC 2016-2019 ejecutado</t>
  </si>
  <si>
    <t>Formular y ejecutar un Plan integral de Seguridad y Convivencia Ciudadana-PISCC para el período 2020-2023</t>
  </si>
  <si>
    <t>numero</t>
  </si>
  <si>
    <t>PISCC 2020-2023 formulado, aprobado el 30 de junio de 2020 y en ejecución</t>
  </si>
  <si>
    <t xml:space="preserve">Ejecutar PISCC 2020-2023 </t>
  </si>
  <si>
    <t xml:space="preserve">FORTALECIMIENTO EN PARQUE AUTOMOTOR Y TECNOLOGÍA PARA LA POLICÍA METROPOLITANA DE CARTAGENA DE INDIAS </t>
  </si>
  <si>
    <t xml:space="preserve">FORTALECIMIENTO DE LAS CAPACIDADES TÉCNOLÓGICAS Y OPERATIVAS DE LA UNIDAD ADMINISTRATIVA ESPECIAL MIGRACIÓN COLOMBIA EN EL DISTRITO DE CARTAGENA DE INDIAS  </t>
  </si>
  <si>
    <t xml:space="preserve">MEJORAMIENTO DE LA SEDE DE LA FISCALIA GENERAL DE LA NACION UBICADA EN EL BARRIO CRESPO CALLE 66 4 -86 EDIFICIO HOCOL PISOS 1 y 2 DEL DISTRITO DE CARTAGENA DE INDIAS </t>
  </si>
  <si>
    <t xml:space="preserve">FORTALECIMIENTO DE LAS CAPACIDADES OPERATIVAS DE LA ARMADA NACIONAL PARA LA OPORTUNA ASISTENCIA MILITAR E INCREMENTO DE LA PROTECCIÓN Y SEGURIDAD CIUDADANA EN EL DISTRITO DE CARTAGENA DE INDIAS </t>
  </si>
  <si>
    <t xml:space="preserve">Dotar a la Policía metropolitana de Cartagena con los elementos tecnológicos, logísticos, infraestructurales y de movilidad necesarios para aumentar su capacidad de operación. </t>
  </si>
  <si>
    <t>2020-13001-0254</t>
  </si>
  <si>
    <t xml:space="preserve">2020-13001-0304 </t>
  </si>
  <si>
    <t>Adquirir equipos tecnológicos para la vigilancia y control de los delitos y comportamientos contrarios a la convivencia y seguridad ciudadana.</t>
  </si>
  <si>
    <t>Adquirir activos móviles( vehículos) para apoyar la realización de las actividades preventivas de la policia metropolitana de cartagena de Indias</t>
  </si>
  <si>
    <t>Adquirir activos móviles( motocicletas) para apoyar la realización de las actividades preventivas de la policia metropolitana de cartagena de Indias</t>
  </si>
  <si>
    <t xml:space="preserve">Contratar  el equipo de profesionales para la   ejecución PISCC que permita dotar a la Policía metropolitana de Cartagena con los elementos tecnológicos, logísticos, infraestructurales y de movilidad necesarios para aumentar su capacidad de operación. </t>
  </si>
  <si>
    <t>Realizar 45 capturas en las actividades de contrainteligencia y de investigación criminal realizadas en la ciudad enfocada en los delitos priorizados y en los sectores de mayor afectación.</t>
  </si>
  <si>
    <t>Modernizar una (1) Línea de atención y emergencia 123 como componente del SIES Cartagena Modernizada.</t>
  </si>
  <si>
    <t>Adquirir vehículos para ampliar y fortalecer los patrullajes diarios de verificación migratoria a ciudadanos extranjeros</t>
  </si>
  <si>
    <t>Adquirir  equipos de cómputo (portatiles y de escritorio) para fortalecer el Puesto de Control Migratorio Aéreo-Rafael Núñez y el Centro Facilitador de Servicios Migratorios de Cartagena.</t>
  </si>
  <si>
    <t>Adquirir equipos  de comunicación movil para el sistema integrado de comunicación y monitoreo misional para el efectivo control migratorio terrestre, marítimo y aéreo en el Distrito de Cartagena.</t>
  </si>
  <si>
    <t>Realizar 20 operativos para la seguridad y la convivencia que permitan la recuperación de espacios y el cumplimiento de la legalidad.</t>
  </si>
  <si>
    <t xml:space="preserve">Implementar 20 estrategias que prevengan la explotación sexual y comercial de niñas, niños, adolescentes y jóvenes. </t>
  </si>
  <si>
    <t>adquisión de una zona de protección y recarga de vehiculos electricos con paneles solares con destino a la Unidad administrativa de migración colombia.</t>
  </si>
  <si>
    <t>Adecuar  los pisos 1 y 2 del edificio Hocol, sede de la Fiscalía General de la Nación en el Distrito de Cartagena</t>
  </si>
  <si>
    <t xml:space="preserve">Mejorar la prestación del servicio en la sede de la Fiscalía General de la Nación ubicada en el Barrio Crespo calle 66 4 -86 Edificio Hocol pisos 1 y 2. </t>
  </si>
  <si>
    <t>Dotar a la Unidad Administrativa Especial Migración Colombia, Regional Caribe de los recursos tecnológicos y de movilidad necesarios para mejorar su capacidad técnica y operativa durante la prestación de los servicios migratorios y la ejecución de las medidas administrativas.</t>
  </si>
  <si>
    <t>Dotar a la Unidad Administrativa Especial Migración Colombia, Regional Caribe de los recursos logísticos necesarios para implementar operativos para la seguridad y la convivencia y estrategias que prevengan la explotación sexual y comercial de niñas, niños, adolescentes y jóvenes-ESCNNA en Cartagena de Indias</t>
  </si>
  <si>
    <t>Dotar con activos móviles a la Fuerza Naval del Caribe – Armada Nacional para incrementar sus capacidades operativas de vigilancia y control de los delitos en mar y tierra.</t>
  </si>
  <si>
    <t xml:space="preserve">Adquirir vehículos para  la Fuerza Naval del Caribe – Armada Nacional  </t>
  </si>
  <si>
    <t>Implementar 05 estrategias de prevención del enrolamiento de niños, niñas y adolescentes en actividades delictivas en el Distrito.</t>
  </si>
  <si>
    <t>Modernizar un  centro de operaciones y control marítimo a la Fuerza Naval del Caribe – Armada Nacional para la vigilancia y control en la Jurisdicción.</t>
  </si>
  <si>
    <t>Dotar con elementos logísticos y tecnológicos a la Fuerza Naval del Caribe – Armada Nacional para la realización de operativos y actividades de acción integral con las comunidades.</t>
  </si>
  <si>
    <t>secretaría del interior y convivencia ciudadana</t>
  </si>
  <si>
    <t>David Munera Cavadia</t>
  </si>
  <si>
    <t>contratación directa</t>
  </si>
  <si>
    <t>minima cuantia</t>
  </si>
  <si>
    <t>selección abreviada-acuerdo marco</t>
  </si>
  <si>
    <t>selección abreviada-menor cuantia</t>
  </si>
  <si>
    <t>selección abreviada - menor cuantia</t>
  </si>
  <si>
    <t>pago por resolución</t>
  </si>
  <si>
    <t xml:space="preserve">
2021-13001-0283</t>
  </si>
  <si>
    <t>LICITACIÓN PUBLICA (OBRA PUBLICA)</t>
  </si>
  <si>
    <t xml:space="preserve">2020-13001-0272
</t>
  </si>
  <si>
    <t>SELECCIÓN ABREVIADA-ACUERDO MARCO</t>
  </si>
  <si>
    <t>FORTALECIMIENTO EN PARQUE AUTOMOTOR Y TECNOLOGÍA PARA LA POLICÍA METROPOLITANA DE   CARTAGENA DE INDIAS</t>
  </si>
  <si>
    <t>RECURSOS PROPIOS- CONTRIBUCION SOBRE CONTRATOS DE OBRA PUBLICA</t>
  </si>
  <si>
    <t>2.3.4501.1000.2020130010254</t>
  </si>
  <si>
    <t>FORTALECIMIENTO DE LAS CAPACIDADES TECNOLÓGICAS Y OPERATIVAS DE LA UNIDAD ADMINISTRATIVA ESPECIAL MIGRACIÓN COLOMBIA EN EL DISTRITO DE   CARTAGENA DE INDIAS</t>
  </si>
  <si>
    <t>2.3.4501.1000.2021130010283</t>
  </si>
  <si>
    <t>MEJORAMIENTO DE LA SEDE DE LA FISCALÍA GENERAL DE LA NACIÓN UBICADA EN EL BARRIO CRESPO CALLE 66 4 -86 EDIFICIO HOCOL PISOS 1 Y 2 DEL DISTRITO DE CARTAGENA DE INDIAS</t>
  </si>
  <si>
    <t>2.3.4501.1000.2020130010304</t>
  </si>
  <si>
    <t>FORTALECIMIENTO DE LAS CAPACIDADES OPERATIVAS DE LA ARMADA NACIONAL PARA LA OPORTUNA ASISTENCIA MILITAR E INCREMENTO DE LA PROTECCIÓN Y SEGURIDAD CIUDADANA EN EL DISTRITO DE   CARTAGENA DE INDIAS</t>
  </si>
  <si>
    <t>2.3.4501.1000.2020130010272</t>
  </si>
  <si>
    <t>Establecimiento de reclusión Distrital funcionando en inmueble  del Distrito.</t>
  </si>
  <si>
    <t>Cárcel Distrital funcionando  de manera provisional en inmueble en  calidad de arriendo</t>
  </si>
  <si>
    <t>Garantizar un inmueble propio para el funcionamiento de la  Cárcel Distrital de Mujeres</t>
  </si>
  <si>
    <t xml:space="preserve">Cárcel Distrital funcionando  de manera provisional en inmueble en  calidad de arriendo. </t>
  </si>
  <si>
    <t>REPORTE META PRODUCTO
EJECUTADO DE ENERO 1 A MARZO 31 DE2022</t>
  </si>
  <si>
    <t>REPORTE ACTIVIDAD DE PROYECTO
EJECUTADO DE ENERO 1 A MARZO 31 DE2022</t>
  </si>
  <si>
    <t xml:space="preserve">INDICAR SI EL RUBRO ESTÁ MARCADO COMO TRAZADOR DE GÉNERO
(SI ó NO) </t>
  </si>
  <si>
    <t>Con cargo a venta de servicios Bomberos se adjunta RP 179 por medio del cual se suministra combustible al parque automotor de Bomberos.</t>
  </si>
  <si>
    <t>se adjuntan los RP 70-71-72-73-74-75-87-141-171</t>
  </si>
  <si>
    <t>orden de compra</t>
  </si>
  <si>
    <t>Se adjuntan los RP30-32-33-35-37-38-60-67-153 correspondiente al personal contratado por prestación de servicios para realizar los operativos.</t>
  </si>
  <si>
    <t>en espera de incorporación recursos de sobretasa bomberil</t>
  </si>
  <si>
    <t>Se adjuntan los Rp 76-83-89-90-92-93-94-95-96-98-1116-120-124-125-127-122-142-144-145-148-149-169-170-173</t>
  </si>
  <si>
    <t>Se adjunta resolución 1923 de 15 de marzo de 2022, por medio del cual se Transfiere a la Policía Metropolitana de Cartagena el 15% a que hace referencia la ley 1801 de 2016, decreto nacional 1284 de 2017 y decreto Distrital 1274 de noviembre 23 de 2021 para el funcionamiento e infraestructura del Registro Nacional de Medidas Correctivas correspondiente al mes de enero de 2022</t>
  </si>
  <si>
    <t>Dotar las Inspecciones de Policía  con  vehículos e insumos de papelería necesarios.</t>
  </si>
  <si>
    <t>Se adjunta RP 188 por medio del cual se contrata servicio especial de transporte. Y el Informe con los operativos realizados en el periodo.</t>
  </si>
  <si>
    <t>Se adjuntan los RP 34-36-40-152 correspondiente al presonal contratao por OPS para ejecución de los operativos. El informe de estos está en el informe de seguridad adujuntado en la fila 7</t>
  </si>
  <si>
    <t>Se adjunta RP 190 por medio del cual se contrata servicio de transporte a las comisarias.</t>
  </si>
  <si>
    <t>se ejecuta con la contratación del personal de casas de justicia</t>
  </si>
  <si>
    <t>6 comisarias de familia</t>
  </si>
  <si>
    <t>Se adjunta informe de las atenciones Psicosociales  en el periodo, asi como tambien los RP 64-151-165-181 correspondiente al personal contratado por OPS  y el RP 189 por medio del cual se contrató el servicio especial de transporte, ambos   para la ejecución de metas del proyecto</t>
  </si>
  <si>
    <t>En el informe trimestral adjunto se da cuenta de las gestiones adelantadas en el periodo para lograr su cumplimiento.</t>
  </si>
  <si>
    <t>En el informe trimestral adjunto se da cuenta de las gestiones adelantadas en el periodo.</t>
  </si>
  <si>
    <t>Se adjuntan RP 62 y 66 de los profesionales contratados para cumplimiento de esta  meta e informe de las acciones adelantadas en el peiodo.</t>
  </si>
  <si>
    <t>Se adjuntan los RP 39-41- 65-69  de los profesionales contratados para garantizar funcioamiento del centro de atencion al migrante y el informe de las atenciones y dotaciones realizadas con apoyo de la cooperación.</t>
  </si>
  <si>
    <t>Se adjunta RP 184 por medio del cual se contrató el establecimiento de reclusión a las personas detenidas preventivamente de manera transitoria- COVID19.</t>
  </si>
  <si>
    <t>Se adjunta informe trimestral del director de la Carcel donde eviencia las gestiones realizadas durante el periodo para cumplimiento de la meta.</t>
  </si>
  <si>
    <t>Se adjunta RP 186 mediante el cual se contrató servicio especial de transporte para la Carcel Distrital</t>
  </si>
  <si>
    <t>en etapa precontractual</t>
  </si>
  <si>
    <t>AMITH PATERNINA
Director Carcel Distrital</t>
  </si>
  <si>
    <t>Se ejecuta con la contratación del personal para la Carcel Distrital</t>
  </si>
  <si>
    <t>En el informe trimestral adjunto se da cuenta de las gestiones adelantadas en el periodo para lograr su cumplimiento. No obstante por ser convenio este solo se podrá suscirbir despues de ley de garantias</t>
  </si>
  <si>
    <t>Se adjuntan los RP 44-46-47-48-52-53-88-97-147-160-175-176-178-191</t>
  </si>
  <si>
    <t>En etapa precontractual. Se adjunta CDP 38. LA primera accion de memoria historica está programada para el 9 de abil.</t>
  </si>
  <si>
    <t xml:space="preserve">Se realizó concertación de la agenda de participación con los miembros de la Distrital de Víctimas. La Agenda iniciará ejecución en el mes de abril de 2022. </t>
  </si>
  <si>
    <t>La atención en primer trimestre se realizó gracias a  la autorización devigencia futura en tiempo del  contrato de albergue 2021 No. SA-MC-SI-UAC-035-2021 mediante Acuerdo 085 de 24 de diciembre de 2021, cuyos documentos de adjuntan.</t>
  </si>
  <si>
    <t>Se adjunta informe con evidencias. Y los RP 61-63 del personal contratado para la ejecuciónde metas del proyecto</t>
  </si>
  <si>
    <t>Se adjunta informe con evidencias. Y los RP 42-59-91 del peronal contratado para la ejecuciónde metas del proyecto</t>
  </si>
  <si>
    <t>No esta programada para la vigencia 2022</t>
  </si>
  <si>
    <t>33   inspecciones dotadas con el equipo juridico y tecnico requerido y disponibilidad de servicio de transporte</t>
  </si>
  <si>
    <t>Todas las 6 comisarias dotadas con el personal requerido y el servicio de trasnporte.</t>
  </si>
  <si>
    <t>1 centro dotado y  en funcionamiento</t>
  </si>
  <si>
    <t>PISCC 2020-2023  en ejecución</t>
  </si>
  <si>
    <t>Se adjunta RP 194 y 195 por medio del cual se adquieren los vehiculos-.</t>
  </si>
  <si>
    <t>En etapa pre-contractual</t>
  </si>
  <si>
    <t>En este primer semestre se terminó de entregar compra en EPP de 2021</t>
  </si>
  <si>
    <t>Se adjuntan los RP 84-86-99-100-101-102-104-105-106-107-108-109-110-111-112-113-114-115-117-118-119-121-123-128-129-130-131-132-133-134-136-137-138-139-140-154-155-156-157-158-162-163-166-168-174-177-182-183 correspondiente al personal contratado por OPS</t>
  </si>
  <si>
    <t>Se adjunta informe trimestral del director de la Carcel donde eviencia la atención Psicosocial realizada a las PPL durante el periodo. Es importante detallar que el  numero de atenciones supera el numero de internas a corte 31 de marzo porque la atención psicosocial es permanente y continua segun requerimiento de la PPL</t>
  </si>
  <si>
    <t>Se adjuntan los RP 31 -77 Y 192</t>
  </si>
  <si>
    <t>REPORTE META PRODUCTO
EJECUTADO DE ABRIL 1 A JUNIO 31 DE2022</t>
  </si>
  <si>
    <t>Beneficiarios a junio 30 de 2022</t>
  </si>
  <si>
    <t>REPORTE META PRODUCTO
EJECUTADO DE ABRIL 1 A JUNIO 30 DE2022</t>
  </si>
  <si>
    <t>REPORTE ACTIVIDAD DE PROYECTO
EJECUTADO DE ABRIL 1 A JUNIO 30 DE2022</t>
  </si>
  <si>
    <t>Observación
30 de junio</t>
  </si>
  <si>
    <t>Observación
31 de marzo</t>
  </si>
  <si>
    <t>Con cargo a venta de servicios Bomberos se adjunta RP 203 por medio del cual se adquieren aceites y lubricantes para el mantenimiento preventivo del  parque automotor de Bomberos.</t>
  </si>
  <si>
    <t xml:space="preserve">Se adjutan RP 199-209 y 212 por medio del cual se Transfiere a la Policía Metropolitana de Cartagena el 15% a que hace referencia la ley 1801 de 2016, decreto nacional 1284 de 2017 y decreto Distrital 1274 de noviembre 23 de 2021 para el funcionamiento e infraestructura del Registro Nacional de Medidas Correctivas correspondiente a los meses de febrero-marzo y abril de 2022 </t>
  </si>
  <si>
    <t>se adjunta RP 216 por medio del cual se contrata el suministro de papeleria y utiles de oficina  para las inspecciones</t>
  </si>
  <si>
    <t>Se adjunta  RP 187 por medio del cual se contrata servicio de trasnsporte para las inspecciones</t>
  </si>
  <si>
    <t>Se adjunta RP 213 por medio del cual se contrata suministro de papeleria y materialess de oficina para las comisarias y casas de justicia</t>
  </si>
  <si>
    <t>Se adjunta informe con evidencias.</t>
  </si>
  <si>
    <t>6 organizaciones de defensores de DDHH</t>
  </si>
  <si>
    <t>En informe del progra paz terriorial se da cuenta de las gestiones adelantadas en el marco del Consejo de paz</t>
  </si>
  <si>
    <t>meta cumplida y en ejecución</t>
  </si>
  <si>
    <t>Se adjunta informe trimestral del director de la Carcel donde eviencia la atención Psicosocial realizada a las PPL durante el periodo.</t>
  </si>
  <si>
    <t>se adjunta RP 214 mediante el cual se seministra insumos de papeleria y material de oficina a la Carcel Distrital</t>
  </si>
  <si>
    <t>En etapa pre contractual</t>
  </si>
  <si>
    <t>primera accion de memoria historica realizada el 9 de abil. Se adjunta informe  y RP 198</t>
  </si>
  <si>
    <t>Se adjunta informe de las atenciones Psicosociales realizadas en el período</t>
  </si>
  <si>
    <t xml:space="preserve">Se  realizará una actualización del PAT, la cual se sometió a consideración del primer comité de justicia transicional que se convocó para el día el 30 de marzo de 2022 mediante Oficio AMC-OFI-0029677-2022 adjunto , y se aplazó para el 19 de abril de 2022 </t>
  </si>
  <si>
    <t xml:space="preserve">
Se adjunta informe de las atenciones Psicosociales realizadas en el período y  de los RP 45-50-51-54-68-161</t>
  </si>
  <si>
    <t>se adjunta informe  de las gestiones adelantadas en el trimestre.</t>
  </si>
  <si>
    <t xml:space="preserve">Se adjuntan los RP 49-55-172 de los profesionales contratados para realizar los encuentros y socializaciones,  asi como informe de lo ejecutado en este primer trimestre.
</t>
  </si>
  <si>
    <t>Con respecto a la adopción del informe de la comisión de la verdad y la ejecución de las recomendaciones para Cartagena, se informa que por disposición de la Corte Constitucional se prorrogó la vigencia de la Comisión para el Esclarecimiento de la Verdad, la Convivencia y la NO Repetición (CEV) por nueve (9) meses y el informe sólo será divulgado a partir del mes de junio de 2022.</t>
  </si>
  <si>
    <t xml:space="preserve">Se adjunta informe de lo ejecutado en este segundo trimestre.
</t>
  </si>
  <si>
    <t>Continuamos en alistamiento
para recibir el Informe de la
Comisiòn para el
Esclarecimiento de la Verdad
(CEV), que se hizo público el
28 de junio de 2022. 
Se adjunta informe de lo ejecutado en este segundo trimestre.</t>
  </si>
  <si>
    <t>se realizó el plan administrativo del territorio de la comunidad negra de Punta Canoa. Se adjunta informe.</t>
  </si>
  <si>
    <t>La secretaria del Interior y Convivencia Ciudadana realizará el día 19 de julio, segunda  capacitación sobre enfoque étnico diferencial liderada por el programa de asuntos étnicos.</t>
  </si>
  <si>
    <t>Articular esfuerzos interinstitucionales e inter agénciales del orden Distrital y Nacional para la adquisición de bienes y servicios logísticos que apoyen la preservación del orden público en el Distrito de Cartagena.</t>
  </si>
  <si>
    <t>Cofinanciación obra Estación Distrito de Policía tipo B en el Distrito Turístico y Cultural de Cartagena de Indias-Contrato No. 93-2017 en el marco del convenio Interadministrativo de Cofinanciación No. 1183 de 2017 suscrito entre La Nación Ministerio del Interior – Fondo Nacional de Seguridad y Convivencia Ciudadana –FONSECON y el Distrito Turístico y Cultural de Cartagena.</t>
  </si>
  <si>
    <t>RB transferencias de capital convenio fonsecon</t>
  </si>
  <si>
    <t xml:space="preserve">Paola Pianeta Arango 
Secretaria del Interior del Interior  </t>
  </si>
  <si>
    <t>pago acta final</t>
  </si>
  <si>
    <t xml:space="preserve">Se adjunta informe </t>
  </si>
  <si>
    <t>se adjunta informe</t>
  </si>
  <si>
    <t>Se estan adelantando gestiones conjuntamente con Policia Nacional para definir inmueble donde funcionaría el CTP  en el Distrito de Cartagena.</t>
  </si>
  <si>
    <t>Se adjunta informe de las atenciones Psicosociales  en el período</t>
  </si>
  <si>
    <t>En el informe trimestral adjunto se da cuenta de la acción afirmativa realizada el 9 de abril con sus evidencias.</t>
  </si>
  <si>
    <t>En el informe trimestral adjunto se da cuenta de las gestiones adelantadas en el período con sus evidencias.</t>
  </si>
  <si>
    <t>Meta cumplida. Se adjunta atenciones realizadas desde el centro de atencion al migrante  durante este trimestre.</t>
  </si>
  <si>
    <t>En informe del programa paz terriorial se da cuenta de las gestiones adelantadas en el marco del Consejo de paz</t>
  </si>
  <si>
    <t>Se adjunta informe trimestral del director de la Carcel donde eviencia las gestiones realizadas durante el período para cumplimiento de la meta.</t>
  </si>
  <si>
    <t>Se adjunta CDP N° 60 con respaldo al cual la UAC adelanta proceso de contratación del abergue para la actual vigencia</t>
  </si>
  <si>
    <t>Se adjunta Informe y RP N° 206y 210 que soportan el reconocimiento de los incentivos a las victimas.,</t>
  </si>
  <si>
    <t>consejo comunitario de Punta Canoa</t>
  </si>
  <si>
    <t>33   inspecciones dotadas con el equipo juridico y tecnico requerido, disponibilidad de servicio de transporte e insumos de papeleria</t>
  </si>
  <si>
    <t>Todas las 6 comisarias dotadas con el personal requerido, servicio de trasnporte e insumos de papeleria.</t>
  </si>
  <si>
    <t>META CUMPLIDA en 2021</t>
  </si>
  <si>
    <t>REPORTE EJECUCIÓN PRESUPUESTAL 
JUNIO 30 DE 2022</t>
  </si>
  <si>
    <t>El informe de los operativos a control de espectáculos -autorizadosy no autorizados- se encuentra en el informe de seguridad adjunto a este reporte</t>
  </si>
  <si>
    <t>se cuenta con stok aun de EPP</t>
  </si>
  <si>
    <t xml:space="preserve">REPORTE EJECUCIÓN PRESUPUESTAL
junio 30 de 2022 </t>
  </si>
  <si>
    <t>Observación
30 de marzo de 2022</t>
  </si>
  <si>
    <t>Observación
junio 30 de 2022</t>
  </si>
  <si>
    <t>se adjunta informe de la Armada  de las campañas realizasas en  los meses de abril y junio</t>
  </si>
  <si>
    <t>se adjunta oficio AMC-OFI-0066322-2021  de fecha 18 de mayo de 2022, mediante el cual dirección financiera de presupuesto Distrital  certifica a corte 30 de abril   ingresos recaudados por la fuente contribución sobre contratos de obras públicas por valor  de $1.593.310.233,  estando estos muy por debajo de lo proyectado en decreto de liquidación de presupuesto para la vigencia 2022.</t>
  </si>
  <si>
    <t>se adjunta informe de policia metropolitana sobre las acpturas realizadas en el periodo</t>
  </si>
  <si>
    <t xml:space="preserve">se adjunta informe </t>
  </si>
  <si>
    <t>Paola Pianeta Arango 
Secretaria del Interior del Interior</t>
  </si>
  <si>
    <t>se adjunta certificación de  RP 202 expedida por dirección de financiera Distrital</t>
  </si>
  <si>
    <t>se adjunta certificación de  RP 201 expedida por dirección de financiera Distrital y RP 204</t>
  </si>
  <si>
    <t>51  personas en primer trimestre</t>
  </si>
  <si>
    <t>Se adjunta informe con las tres iniciativas ejecutadas  en el trimestre con sus respectivas evidencias. Se ejecuta con la contratación de OPS</t>
  </si>
  <si>
    <t>Se adjunta informe con las cuatro iniciativas ejecutadas  en el trimestre con sus respectivas evidencias. Se ejecuta con la contratación de OPS</t>
  </si>
  <si>
    <t>Activadas 31 rutas de prevencion temprana ( 11  en el primer trimestre y 20 en el segundo)</t>
  </si>
  <si>
    <t>según decreto de incorporación N°  0561 de fecha 12 de abril de 2022, se procede a  solicitar los RP N° 207 y 208 de 12  mayo de  2022   (adjuntos a este reporte) que ampara pago de acta final del contrato de obra N°93 de 2019 que tiene por objeto contratar obras de construcción de la estación Distrito de Policia tipo B  en el barrio el Pozón.</t>
  </si>
  <si>
    <t>porcentaje ejecutado</t>
  </si>
  <si>
    <t>1,2,1,0,00-001 - ICLD</t>
  </si>
  <si>
    <t>2,3,4503,1000,2021130010142           FORTALECIMIENTO DEL CUERPO DE BOMBEROS DEL DISTRITO DE   CARTAGENA DE INDIAS</t>
  </si>
  <si>
    <t>codigo- fuente</t>
  </si>
  <si>
    <t>Rubro</t>
  </si>
  <si>
    <t>Apropiacion definitiva rubro</t>
  </si>
  <si>
    <t>Ejecucion presupuestal rubro</t>
  </si>
  <si>
    <t>Apropiacion definitiva pr programa</t>
  </si>
  <si>
    <t>Ejecutado por Programas</t>
  </si>
  <si>
    <t>1,2,3,2,01-040 - CONTRIBUCION SOBRE CONTRATOS DE OBRA PUBLICA</t>
  </si>
  <si>
    <t>2,3,4501,1000,2020130010254           FORTALECIMIENTO EN PARQUE AUTOMOTOR Y TECNOLOGIA PARA LA POLICIA METROPOLITANA DE   CARTAGENA DE INDIAS</t>
  </si>
  <si>
    <t>2,3,4501,1000,2020130010031           MEJORAMIENTO DE LA CONVIVENCIA CON LA IMPLEMENTACIN DEL CODIGO NACIONAL DE SEGURIDAD Y CONVIVENCIA CIUDADANA  Y  LA MODERNIZACIN DE LAS INSPECCIONES DE POLICA EN EL DISTRITO DE  CARTAGENA DE INDIAS</t>
  </si>
  <si>
    <t>2,3,1202,0800,2020130010030           FORTALECIMIENTO Y PROMOCION AL ACCESO A LA JUSTICIA DESDE LAS CASAS DE JUSTICIA Y COMISARIAS DE FAMILIA EN EL DISTRITO DE   CARTAGENA DE INDIAS</t>
  </si>
  <si>
    <t>2,3,4103,1500,2020130010084           ASISTENCIA Y ATENCION INTEGRAL A LOS NI?OS, NI?AS,  JOVENES  Y ADOLESCENTES EN RIESGO DE VINCULACION A  ACTIVIDADES DELICTIVAS Y  AQUELLOS EN CONFLICTO CON LA LEY PENAL EN EL DISTRITO DE   CARTAGENA DE INDIAS</t>
  </si>
  <si>
    <t>2,3,4102,1000,2021130010275           FORTALECIMIENTO DEL SISTEMA DE RESPONSABILIDAD PENAL PARA ADOLESCENTES- SRPA EN EL CARTAGENA DE INDIAS</t>
  </si>
  <si>
    <t>2,3,4502,1000,2021130010143           GENERACION DE UNA CULTURA DE PREVENCION, PROMOCION Y PROTECCION DE LOS DERECHOS HUMANOS CON ENFOQUE DIFERENCIAL Y DE GENERO EN EL DISTRITO DE CARTAGENA DE INDIAS</t>
  </si>
  <si>
    <t xml:space="preserve">2,3,1206,0800,2020130010032           FORTALECIMIENTO Y ATENCION INTEGRAL A INTERNOS DE LOS ESTABLECIMIENTOS CARCELARIOS DEL DISTRITO DE  CARTAGENA DE INDIAS </t>
  </si>
  <si>
    <t>2,3,4103,1500,2020130010061           ASISTENCIA ATENCION Y REPARACION INTEGRAL A LAS VICTIMAS DEL CONFLICTO ARMADO EN EL DISTRITO DE   CARTAGENA DE INDIAS</t>
  </si>
  <si>
    <t>2,3,4103,1500,2020130010187           CONSTRUCCION DE PAZ TERRITORIAL EN EL DISTRITO DE   CARTAGENA DE INDIAS</t>
  </si>
  <si>
    <t>2,3,4502,1000,2021130010148           FORTALECIMIENTO DEL PROCESO ORGANIZATIVO Y ATENCION DIFERENCIAL A LA POBLACION NEGRA, AFRODESCENDIENTE, RAIZAL Y PALENQUERA EN EL DISTRITO DE CARTAGENA DE INDIAS</t>
  </si>
  <si>
    <t xml:space="preserve">2,3,4502,1000,2021130010145           FORTALECIMIENTO DE LA GOBERNANZA Y AUTODETERMINACION DE LA CULTURA E INSTITUCIONES PROPIAS DE LA POBLACION INDIGENA EN EL DISTRITO DE CARTAGENA DE INDIAS </t>
  </si>
  <si>
    <t>2,3,4502,1000,2021130010276           IMPLEMENTACION DE LA JURISDICCION ESPECIAL INDIGENA- JEI EN EL DISTRITO DE CARTAGENA DE INDIAS</t>
  </si>
  <si>
    <t>avance metas producto a junio 30 de 2022</t>
  </si>
  <si>
    <t>avance % metas producto por programa a 30 de junio de 202</t>
  </si>
  <si>
    <t>avance % metas productos a cuatrienio 2020-2023</t>
  </si>
  <si>
    <t>avance % metas productos por programa al cuatrienio</t>
  </si>
  <si>
    <t>avance % actividades del proyecto a 30 de junio de 2022</t>
  </si>
  <si>
    <t>avence %actividades de proyecto por programa a 30 de junio 202</t>
  </si>
  <si>
    <t>2,3,4501,1000,2020130010210           FORTALECIMIENTO DE LA CAPACIDAD OPERATIVA  DE LA SECRETARIA DEL INTERIOR Y CONVIVENCIA CIUDADANA  CARTAGENA DE INDIAS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</si>
</sst>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0;[Red]\-&quot;$&quot;\ #,##0"/>
    <numFmt numFmtId="165" formatCode="_-&quot;$&quot;\ * #,##0_-;\-&quot;$&quot;\ * #,##0_-;_-&quot;$&quot;\ * &quot;-&quot;_-;_-@_-"/>
    <numFmt numFmtId="166" formatCode="_-&quot;$&quot;\ * #,##0.00_-;\-&quot;$&quot;\ * #,##0.00_-;_-&quot;$&quot;\ * &quot;-&quot;??_-;_-@_-"/>
    <numFmt numFmtId="167" formatCode="&quot;$&quot;\ #,##0_);[Red]\(&quot;$&quot;\ #,##0\)"/>
    <numFmt numFmtId="168" formatCode="0;[Red]0"/>
    <numFmt numFmtId="169" formatCode="&quot;$&quot;\ #,##0"/>
    <numFmt numFmtId="170" formatCode="&quot;$&quot;\ #,##0.00"/>
    <numFmt numFmtId="171" formatCode="_-&quot;$&quot;\ * #,##0_-;\-&quot;$&quot;\ * #,##0_-;_-&quot;$&quot;\ * &quot;-&quot;??_-;_-@_-"/>
  </numFmts>
  <fonts count="24" x14ac:knownFonts="1">
    <font>
      <sz val="11"/>
      <color theme="1"/>
      <name val="Calibri"/>
      <family val="2"/>
      <scheme val="minor"/>
    </font>
    <font>
      <sz val="11"/>
      <name val="Calibri"/>
      <family val="2"/>
      <scheme val="minor"/>
    </font>
    <font>
      <sz val="11"/>
      <color theme="1"/>
      <name val="Arial"/>
      <family val="2"/>
    </font>
    <font>
      <sz val="11"/>
      <color theme="1" tint="4.9989318521683403E-2"/>
      <name val="Arial"/>
      <family val="2"/>
    </font>
    <font>
      <sz val="12"/>
      <color theme="1" tint="4.9989318521683403E-2"/>
      <name val="Calibri"/>
      <family val="2"/>
      <scheme val="minor"/>
    </font>
    <font>
      <sz val="11"/>
      <color theme="1" tint="4.9989318521683403E-2"/>
      <name val="Calibri"/>
      <family val="2"/>
      <scheme val="minor"/>
    </font>
    <font>
      <sz val="14"/>
      <color theme="1"/>
      <name val="Calibri"/>
      <family val="2"/>
      <scheme val="minor"/>
    </font>
    <font>
      <b/>
      <sz val="11"/>
      <color theme="1"/>
      <name val="Arial"/>
      <family val="2"/>
    </font>
    <font>
      <b/>
      <sz val="11"/>
      <name val="Arial"/>
      <family val="2"/>
    </font>
    <font>
      <b/>
      <sz val="11"/>
      <color theme="1" tint="4.9989318521683403E-2"/>
      <name val="Arial"/>
      <family val="2"/>
    </font>
    <font>
      <b/>
      <sz val="12"/>
      <color theme="1" tint="4.9989318521683403E-2"/>
      <name val="Arial"/>
      <family val="2"/>
    </font>
    <font>
      <b/>
      <sz val="16"/>
      <color theme="1"/>
      <name val="Calibri"/>
      <family val="2"/>
      <scheme val="minor"/>
    </font>
    <font>
      <sz val="11"/>
      <color theme="1"/>
      <name val="Calibri"/>
      <family val="2"/>
      <scheme val="minor"/>
    </font>
    <font>
      <sz val="10"/>
      <color theme="1"/>
      <name val="Verdana"/>
      <family val="2"/>
    </font>
    <font>
      <b/>
      <sz val="10"/>
      <color theme="1"/>
      <name val="Arial"/>
      <family val="2"/>
    </font>
    <font>
      <b/>
      <sz val="11"/>
      <color theme="1"/>
      <name val="Calibri"/>
      <family val="2"/>
      <scheme val="minor"/>
    </font>
    <font>
      <b/>
      <sz val="16"/>
      <color theme="1"/>
      <name val="Arial"/>
      <family val="2"/>
    </font>
    <font>
      <sz val="9"/>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4"/>
      <color theme="1"/>
      <name val="Arial"/>
      <family val="2"/>
    </font>
    <font>
      <b/>
      <sz val="12"/>
      <color theme="1"/>
      <name val="Arial"/>
      <family val="2"/>
    </font>
    <font>
      <b/>
      <sz val="16"/>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9" fontId="12" fillId="0" borderId="0" applyFont="0" applyFill="0" applyBorder="0" applyAlignment="0" applyProtection="0"/>
    <xf numFmtId="166" fontId="12" fillId="0" borderId="0" applyFont="0" applyFill="0" applyBorder="0" applyAlignment="0" applyProtection="0"/>
    <xf numFmtId="49" fontId="13" fillId="0" borderId="0" applyFill="0" applyBorder="0" applyProtection="0">
      <alignment horizontal="left" vertical="center"/>
    </xf>
  </cellStyleXfs>
  <cellXfs count="337">
    <xf numFmtId="0" fontId="0" fillId="0" borderId="0" xfId="0"/>
    <xf numFmtId="0" fontId="0" fillId="0" borderId="0" xfId="0" applyAlignment="1">
      <alignment horizont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168" fontId="2" fillId="0" borderId="0" xfId="0" applyNumberFormat="1"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xf>
    <xf numFmtId="0" fontId="6" fillId="0" borderId="0" xfId="0" applyFont="1" applyAlignment="1">
      <alignment horizontal="center" vertical="center"/>
    </xf>
    <xf numFmtId="0" fontId="0" fillId="0" borderId="0" xfId="0" applyAlignment="1">
      <alignment horizontal="center" vertical="center"/>
    </xf>
    <xf numFmtId="0" fontId="2" fillId="0" borderId="0" xfId="0" applyFont="1"/>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8" fontId="7"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Border="1"/>
    <xf numFmtId="3" fontId="1" fillId="0" borderId="1" xfId="0" applyNumberFormat="1" applyFont="1" applyBorder="1" applyAlignment="1">
      <alignment vertical="top" wrapText="1"/>
    </xf>
    <xf numFmtId="0" fontId="1" fillId="0" borderId="1" xfId="0" applyFont="1" applyBorder="1" applyAlignment="1">
      <alignment wrapText="1"/>
    </xf>
    <xf numFmtId="0" fontId="1" fillId="0" borderId="1" xfId="0" applyFont="1" applyBorder="1" applyAlignment="1">
      <alignment horizontal="justify" vertical="top" wrapText="1"/>
    </xf>
    <xf numFmtId="1" fontId="7"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3" fontId="1" fillId="0" borderId="1" xfId="0" applyNumberFormat="1" applyFont="1" applyBorder="1" applyAlignment="1">
      <alignment horizontal="center" vertical="top" wrapText="1"/>
    </xf>
    <xf numFmtId="1" fontId="0" fillId="0" borderId="1" xfId="0" applyNumberFormat="1" applyBorder="1" applyAlignment="1">
      <alignment horizontal="center" vertical="top"/>
    </xf>
    <xf numFmtId="0" fontId="5" fillId="0" borderId="1" xfId="0" applyFont="1" applyBorder="1" applyAlignment="1">
      <alignment horizontal="center" vertical="top"/>
    </xf>
    <xf numFmtId="0" fontId="5" fillId="0" borderId="0" xfId="0" applyFont="1" applyAlignment="1">
      <alignment horizontal="center" vertical="top"/>
    </xf>
    <xf numFmtId="1" fontId="0" fillId="0" borderId="0" xfId="0" applyNumberFormat="1" applyAlignment="1">
      <alignment horizontal="center" vertical="top"/>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xf>
    <xf numFmtId="0" fontId="1" fillId="0" borderId="7" xfId="0" applyFont="1" applyBorder="1" applyAlignment="1">
      <alignment horizontal="center" vertical="top" wrapText="1"/>
    </xf>
    <xf numFmtId="0" fontId="1" fillId="0" borderId="7" xfId="0" applyFont="1" applyBorder="1" applyAlignment="1">
      <alignment vertical="top" wrapText="1"/>
    </xf>
    <xf numFmtId="0" fontId="0" fillId="0" borderId="7" xfId="0" applyBorder="1" applyAlignment="1">
      <alignment horizontal="justify" vertical="top" wrapText="1"/>
    </xf>
    <xf numFmtId="0" fontId="1" fillId="0" borderId="7" xfId="0" applyFont="1" applyBorder="1" applyAlignment="1">
      <alignment horizontal="justify" vertical="top" wrapText="1"/>
    </xf>
    <xf numFmtId="17" fontId="0" fillId="0" borderId="1" xfId="0" applyNumberFormat="1" applyBorder="1" applyAlignment="1">
      <alignment horizontal="center"/>
    </xf>
    <xf numFmtId="0" fontId="0" fillId="0" borderId="1" xfId="0" applyBorder="1" applyAlignment="1">
      <alignment horizontal="center"/>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0" fillId="0" borderId="1" xfId="0" applyBorder="1"/>
    <xf numFmtId="1" fontId="0" fillId="0" borderId="1" xfId="0" applyNumberFormat="1" applyFill="1" applyBorder="1" applyAlignment="1">
      <alignment horizontal="center" vertical="top"/>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center" vertical="center"/>
    </xf>
    <xf numFmtId="17" fontId="1" fillId="0" borderId="1" xfId="0" applyNumberFormat="1" applyFont="1" applyBorder="1" applyAlignment="1">
      <alignment horizontal="center" vertical="top" wrapText="1"/>
    </xf>
    <xf numFmtId="0" fontId="1" fillId="0" borderId="5"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Fill="1" applyBorder="1" applyAlignment="1">
      <alignment horizontal="center" vertical="top" wrapText="1"/>
    </xf>
    <xf numFmtId="0" fontId="1" fillId="0" borderId="3" xfId="0" applyFont="1" applyBorder="1" applyAlignment="1">
      <alignment vertical="top" wrapText="1"/>
    </xf>
    <xf numFmtId="0" fontId="0" fillId="0" borderId="0" xfId="0" applyAlignment="1">
      <alignment horizontal="center" vertical="top"/>
    </xf>
    <xf numFmtId="164" fontId="1" fillId="0" borderId="1" xfId="0" applyNumberFormat="1" applyFont="1" applyBorder="1" applyAlignment="1">
      <alignment horizontal="center" vertical="top"/>
    </xf>
    <xf numFmtId="166" fontId="0" fillId="0" borderId="1" xfId="2" applyFont="1" applyBorder="1" applyAlignment="1">
      <alignment horizontal="center" vertical="top"/>
    </xf>
    <xf numFmtId="169" fontId="0" fillId="0" borderId="1" xfId="0" applyNumberFormat="1" applyBorder="1" applyAlignment="1">
      <alignment horizontal="center" vertical="top"/>
    </xf>
    <xf numFmtId="170" fontId="0" fillId="0" borderId="1" xfId="0" applyNumberFormat="1" applyBorder="1" applyAlignment="1">
      <alignment horizontal="center" vertical="top"/>
    </xf>
    <xf numFmtId="170" fontId="0" fillId="0" borderId="1" xfId="0" applyNumberFormat="1" applyBorder="1" applyAlignment="1">
      <alignment vertical="top"/>
    </xf>
    <xf numFmtId="0" fontId="0" fillId="0" borderId="1" xfId="0" applyBorder="1" applyAlignment="1">
      <alignment horizontal="center" vertical="top"/>
    </xf>
    <xf numFmtId="9" fontId="0" fillId="0" borderId="1" xfId="1" applyFont="1" applyBorder="1" applyAlignment="1">
      <alignment vertical="top"/>
    </xf>
    <xf numFmtId="9" fontId="0" fillId="0" borderId="1" xfId="1" applyFont="1" applyFill="1" applyBorder="1" applyAlignment="1">
      <alignment vertical="top"/>
    </xf>
    <xf numFmtId="0" fontId="0" fillId="0" borderId="1" xfId="0" applyBorder="1" applyAlignment="1">
      <alignment horizontal="center" vertical="top" wrapText="1"/>
    </xf>
    <xf numFmtId="0" fontId="0" fillId="0" borderId="0" xfId="0" applyAlignment="1">
      <alignment horizontal="center" vertical="top" wrapText="1"/>
    </xf>
    <xf numFmtId="9" fontId="0" fillId="0" borderId="1" xfId="0" applyNumberFormat="1" applyBorder="1" applyAlignment="1">
      <alignment horizontal="center" vertical="top"/>
    </xf>
    <xf numFmtId="9" fontId="0" fillId="0" borderId="1" xfId="1" applyFont="1" applyBorder="1" applyAlignment="1">
      <alignment horizontal="center" vertical="top"/>
    </xf>
    <xf numFmtId="9" fontId="0" fillId="0" borderId="1" xfId="1" applyFont="1" applyFill="1" applyBorder="1" applyAlignment="1">
      <alignment horizontal="center" vertical="top"/>
    </xf>
    <xf numFmtId="9" fontId="0" fillId="0" borderId="1" xfId="0" applyNumberFormat="1" applyFill="1" applyBorder="1" applyAlignment="1">
      <alignment horizontal="center" vertical="top"/>
    </xf>
    <xf numFmtId="0" fontId="0" fillId="0" borderId="1" xfId="0" applyFill="1" applyBorder="1" applyAlignment="1">
      <alignment horizontal="center" vertical="top"/>
    </xf>
    <xf numFmtId="17" fontId="0" fillId="0" borderId="1" xfId="0" applyNumberFormat="1" applyBorder="1" applyAlignment="1">
      <alignment horizontal="center" vertical="top"/>
    </xf>
    <xf numFmtId="0" fontId="1" fillId="0" borderId="5" xfId="0" applyFont="1" applyFill="1" applyBorder="1" applyAlignment="1">
      <alignment horizontal="center" vertical="top" wrapText="1"/>
    </xf>
    <xf numFmtId="171" fontId="0" fillId="0" borderId="1" xfId="0" applyNumberFormat="1" applyBorder="1" applyAlignment="1">
      <alignment vertical="top"/>
    </xf>
    <xf numFmtId="0" fontId="0" fillId="0" borderId="1" xfId="0" applyBorder="1" applyAlignment="1">
      <alignment vertical="top" wrapText="1"/>
    </xf>
    <xf numFmtId="3" fontId="0" fillId="0" borderId="1" xfId="0" applyNumberFormat="1" applyBorder="1" applyAlignment="1">
      <alignment vertical="top" wrapText="1"/>
    </xf>
    <xf numFmtId="0" fontId="8" fillId="0" borderId="8" xfId="0" applyFont="1" applyBorder="1" applyAlignment="1">
      <alignment horizontal="center" vertical="center" wrapText="1"/>
    </xf>
    <xf numFmtId="9" fontId="0" fillId="0" borderId="5" xfId="1" applyFont="1" applyFill="1" applyBorder="1" applyAlignment="1">
      <alignment vertical="top"/>
    </xf>
    <xf numFmtId="0" fontId="1" fillId="0" borderId="4" xfId="0" applyFont="1" applyBorder="1" applyAlignment="1">
      <alignment horizontal="center" vertical="top" wrapText="1"/>
    </xf>
    <xf numFmtId="0" fontId="1" fillId="0" borderId="1" xfId="0" applyFont="1" applyBorder="1" applyAlignment="1">
      <alignment horizontal="center" vertical="top" wrapText="1"/>
    </xf>
    <xf numFmtId="17" fontId="1" fillId="0" borderId="1" xfId="0" applyNumberFormat="1" applyFont="1" applyFill="1" applyBorder="1" applyAlignment="1">
      <alignment horizontal="center" vertical="top" wrapText="1"/>
    </xf>
    <xf numFmtId="0" fontId="0" fillId="0" borderId="0" xfId="0" applyAlignment="1">
      <alignment vertical="top"/>
    </xf>
    <xf numFmtId="0" fontId="0" fillId="0" borderId="1" xfId="0" applyBorder="1" applyAlignment="1">
      <alignment vertical="top"/>
    </xf>
    <xf numFmtId="17" fontId="0" fillId="0" borderId="1" xfId="0" applyNumberFormat="1" applyBorder="1" applyAlignment="1">
      <alignment vertical="top"/>
    </xf>
    <xf numFmtId="17" fontId="0" fillId="0" borderId="1" xfId="0" applyNumberFormat="1" applyBorder="1" applyAlignment="1">
      <alignment vertical="top" wrapText="1"/>
    </xf>
    <xf numFmtId="0" fontId="1" fillId="0"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center" vertical="center"/>
    </xf>
    <xf numFmtId="0" fontId="0" fillId="0" borderId="1" xfId="0" applyBorder="1" applyAlignment="1">
      <alignment horizontal="center" vertical="top" wrapText="1"/>
    </xf>
    <xf numFmtId="0" fontId="1" fillId="0" borderId="5"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4" fillId="2" borderId="8"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66" fontId="1" fillId="0" borderId="1" xfId="2" applyFont="1" applyBorder="1" applyAlignment="1">
      <alignment horizontal="center" vertical="top" wrapText="1"/>
    </xf>
    <xf numFmtId="0" fontId="1" fillId="0" borderId="4"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center" vertical="center"/>
    </xf>
    <xf numFmtId="0" fontId="0" fillId="0" borderId="1" xfId="0" applyBorder="1" applyAlignment="1">
      <alignment horizontal="center" vertical="top" wrapText="1"/>
    </xf>
    <xf numFmtId="0" fontId="0" fillId="0" borderId="1" xfId="0" applyBorder="1" applyAlignment="1">
      <alignment horizontal="center" vertical="top"/>
    </xf>
    <xf numFmtId="166" fontId="0" fillId="0" borderId="1" xfId="2" applyFont="1" applyBorder="1" applyAlignment="1">
      <alignment horizontal="center" vertical="top"/>
    </xf>
    <xf numFmtId="0" fontId="1" fillId="0" borderId="1" xfId="0" applyFont="1" applyBorder="1" applyAlignment="1">
      <alignment horizontal="center" vertical="top" wrapText="1"/>
    </xf>
    <xf numFmtId="0" fontId="1" fillId="0" borderId="7"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justify" vertical="top" wrapText="1"/>
    </xf>
    <xf numFmtId="0" fontId="0" fillId="0" borderId="1" xfId="0" applyBorder="1" applyAlignment="1">
      <alignment horizontal="justify" vertical="top" wrapText="1"/>
    </xf>
    <xf numFmtId="166" fontId="1" fillId="0" borderId="1" xfId="2" applyFont="1" applyFill="1" applyBorder="1" applyAlignment="1">
      <alignment horizontal="center" vertical="top" wrapText="1"/>
    </xf>
    <xf numFmtId="0" fontId="1" fillId="0" borderId="1" xfId="0" applyFont="1" applyFill="1" applyBorder="1" applyAlignment="1">
      <alignment horizontal="justify" vertical="top" wrapText="1"/>
    </xf>
    <xf numFmtId="0" fontId="0" fillId="0" borderId="5" xfId="0" applyBorder="1" applyAlignment="1">
      <alignment vertical="top" wrapText="1"/>
    </xf>
    <xf numFmtId="0" fontId="0" fillId="0" borderId="1" xfId="0" applyBorder="1" applyAlignment="1">
      <alignment horizontal="justify" vertical="top" wrapText="1"/>
    </xf>
    <xf numFmtId="0" fontId="0" fillId="0" borderId="1" xfId="0" applyFill="1" applyBorder="1" applyAlignment="1">
      <alignment vertical="top" wrapText="1"/>
    </xf>
    <xf numFmtId="0" fontId="0" fillId="0" borderId="1" xfId="0" applyFill="1" applyBorder="1" applyAlignment="1">
      <alignment horizontal="center" vertical="top" wrapText="1"/>
    </xf>
    <xf numFmtId="0" fontId="1" fillId="0" borderId="1" xfId="0" applyFont="1" applyFill="1" applyBorder="1" applyAlignment="1">
      <alignment horizontal="center" vertical="center"/>
    </xf>
    <xf numFmtId="17" fontId="0" fillId="0" borderId="1" xfId="0" applyNumberFormat="1" applyFill="1" applyBorder="1" applyAlignment="1">
      <alignment horizontal="center" vertical="top"/>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0" fillId="0" borderId="1" xfId="0"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17" fontId="1" fillId="0" borderId="1" xfId="0" applyNumberFormat="1" applyFont="1" applyFill="1" applyBorder="1" applyAlignment="1">
      <alignment horizontal="center" vertical="top" wrapText="1"/>
    </xf>
    <xf numFmtId="17" fontId="1" fillId="0" borderId="1" xfId="0" applyNumberFormat="1" applyFont="1" applyFill="1" applyBorder="1" applyAlignment="1">
      <alignment horizontal="justify" vertical="top" wrapText="1"/>
    </xf>
    <xf numFmtId="0" fontId="1" fillId="0" borderId="1" xfId="0" applyFont="1" applyFill="1" applyBorder="1" applyAlignment="1">
      <alignment horizontal="justify" vertical="top" wrapText="1"/>
    </xf>
    <xf numFmtId="0" fontId="0" fillId="0" borderId="1" xfId="0" applyBorder="1" applyAlignment="1">
      <alignment horizontal="center" vertical="top" wrapText="1"/>
    </xf>
    <xf numFmtId="0" fontId="0" fillId="0" borderId="1" xfId="0" applyBorder="1" applyAlignment="1">
      <alignment horizontal="justify" vertical="top" wrapText="1"/>
    </xf>
    <xf numFmtId="0" fontId="1" fillId="0" borderId="4"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4" xfId="0" applyFont="1" applyBorder="1" applyAlignment="1">
      <alignment horizontal="center" vertical="top" wrapText="1"/>
    </xf>
    <xf numFmtId="17" fontId="1" fillId="0" borderId="1" xfId="0" applyNumberFormat="1"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center" vertical="center"/>
    </xf>
    <xf numFmtId="0" fontId="0" fillId="0" borderId="1" xfId="0" applyBorder="1" applyAlignment="1">
      <alignment horizontal="center" vertical="top" wrapText="1"/>
    </xf>
    <xf numFmtId="17" fontId="0" fillId="0" borderId="1" xfId="0" applyNumberFormat="1" applyBorder="1" applyAlignment="1">
      <alignment horizontal="center" vertical="top" wrapText="1"/>
    </xf>
    <xf numFmtId="0" fontId="0" fillId="0" borderId="1" xfId="0" applyBorder="1" applyAlignment="1">
      <alignment horizontal="justify" vertical="top" wrapText="1"/>
    </xf>
    <xf numFmtId="17" fontId="0" fillId="0" borderId="1" xfId="0" applyNumberFormat="1" applyBorder="1" applyAlignment="1">
      <alignment horizontal="center" vertical="top"/>
    </xf>
    <xf numFmtId="0" fontId="14" fillId="0" borderId="1" xfId="0" applyFont="1" applyFill="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7" xfId="0" applyFont="1" applyBorder="1" applyAlignment="1">
      <alignment horizontal="center" vertical="top" wrapText="1"/>
    </xf>
    <xf numFmtId="0" fontId="1" fillId="0" borderId="1" xfId="0" applyFont="1" applyBorder="1" applyAlignment="1">
      <alignment horizontal="center" vertical="center"/>
    </xf>
    <xf numFmtId="0" fontId="0" fillId="0" borderId="1" xfId="0" applyBorder="1" applyAlignment="1">
      <alignment horizontal="center" vertical="top" wrapText="1"/>
    </xf>
    <xf numFmtId="166" fontId="0" fillId="0" borderId="1" xfId="2" applyFont="1" applyBorder="1" applyAlignment="1">
      <alignment horizontal="center" vertical="top"/>
    </xf>
    <xf numFmtId="17" fontId="0" fillId="0" borderId="1" xfId="0" applyNumberFormat="1" applyBorder="1" applyAlignment="1">
      <alignment horizontal="center" vertical="top" wrapText="1"/>
    </xf>
    <xf numFmtId="0" fontId="1" fillId="0" borderId="1" xfId="0" applyFont="1" applyFill="1" applyBorder="1" applyAlignment="1">
      <alignment horizontal="center" vertical="top" wrapText="1"/>
    </xf>
    <xf numFmtId="166" fontId="0" fillId="0" borderId="1" xfId="2" applyFont="1" applyBorder="1" applyAlignment="1">
      <alignment vertical="top"/>
    </xf>
    <xf numFmtId="167"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horizontal="center" vertical="center"/>
    </xf>
    <xf numFmtId="0" fontId="1" fillId="0" borderId="1" xfId="0" applyFont="1" applyFill="1" applyBorder="1" applyAlignment="1">
      <alignment horizontal="center" vertical="top" wrapText="1"/>
    </xf>
    <xf numFmtId="0" fontId="1" fillId="0" borderId="1" xfId="0" applyFont="1" applyBorder="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horizontal="center" vertical="center"/>
    </xf>
    <xf numFmtId="0" fontId="0" fillId="0" borderId="1" xfId="0" applyBorder="1" applyAlignment="1">
      <alignment horizontal="center" vertical="top" wrapText="1"/>
    </xf>
    <xf numFmtId="17" fontId="0" fillId="0" borderId="1" xfId="0" applyNumberFormat="1" applyBorder="1" applyAlignment="1">
      <alignment horizontal="center" vertical="top"/>
    </xf>
    <xf numFmtId="0" fontId="16" fillId="2" borderId="8" xfId="0" applyFont="1" applyFill="1" applyBorder="1" applyAlignment="1">
      <alignment horizontal="center" vertical="center" wrapText="1"/>
    </xf>
    <xf numFmtId="9" fontId="1" fillId="0" borderId="4" xfId="1" applyFont="1" applyBorder="1" applyAlignment="1">
      <alignment horizontal="center" vertical="center"/>
    </xf>
    <xf numFmtId="0" fontId="0" fillId="0" borderId="1" xfId="0" applyBorder="1" applyAlignment="1">
      <alignment horizontal="left" wrapText="1"/>
    </xf>
    <xf numFmtId="0" fontId="0" fillId="0" borderId="1" xfId="0" applyNumberFormat="1" applyBorder="1" applyAlignment="1">
      <alignment horizontal="center" vertical="center" wrapText="1"/>
    </xf>
    <xf numFmtId="0" fontId="18" fillId="0" borderId="1" xfId="0" applyFont="1" applyBorder="1" applyAlignment="1">
      <alignment horizontal="left" wrapText="1"/>
    </xf>
    <xf numFmtId="0" fontId="19" fillId="0" borderId="1" xfId="0" applyFont="1" applyBorder="1" applyAlignment="1">
      <alignment horizontal="left" wrapText="1"/>
    </xf>
    <xf numFmtId="0" fontId="20" fillId="3" borderId="1" xfId="0" applyFont="1" applyFill="1" applyBorder="1" applyAlignment="1">
      <alignment horizontal="left" wrapText="1"/>
    </xf>
    <xf numFmtId="9" fontId="1" fillId="0" borderId="1" xfId="1" applyFont="1" applyBorder="1" applyAlignment="1">
      <alignment horizontal="center" vertical="center"/>
    </xf>
    <xf numFmtId="0" fontId="0" fillId="3" borderId="1" xfId="0" applyFont="1" applyFill="1" applyBorder="1" applyAlignment="1">
      <alignment horizontal="left" wrapText="1"/>
    </xf>
    <xf numFmtId="0" fontId="1"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1" xfId="0" applyFont="1" applyFill="1" applyBorder="1" applyAlignment="1">
      <alignment horizontal="left" wrapText="1"/>
    </xf>
    <xf numFmtId="0" fontId="1" fillId="3" borderId="0" xfId="0" applyFont="1" applyFill="1" applyAlignment="1">
      <alignment horizontal="center" vertical="center"/>
    </xf>
    <xf numFmtId="0" fontId="1" fillId="0" borderId="1" xfId="0" applyFont="1" applyBorder="1" applyAlignment="1">
      <alignment horizontal="center" vertical="top" wrapText="1"/>
    </xf>
    <xf numFmtId="9" fontId="1" fillId="0" borderId="3" xfId="1" applyFont="1" applyBorder="1" applyAlignment="1">
      <alignment horizontal="center" vertical="center"/>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1" xfId="0" applyFont="1" applyBorder="1" applyAlignment="1">
      <alignment horizontal="center" vertical="top" wrapText="1"/>
    </xf>
    <xf numFmtId="0" fontId="1" fillId="0" borderId="5" xfId="0" applyFont="1" applyBorder="1" applyAlignment="1">
      <alignment horizontal="center" vertical="top" wrapText="1"/>
    </xf>
    <xf numFmtId="9" fontId="1" fillId="0" borderId="1" xfId="1" applyFont="1" applyBorder="1" applyAlignment="1">
      <alignment horizontal="center" vertical="top" wrapText="1"/>
    </xf>
    <xf numFmtId="0" fontId="1" fillId="0" borderId="1" xfId="0" applyFont="1" applyBorder="1" applyAlignment="1">
      <alignment horizontal="center" vertical="center"/>
    </xf>
    <xf numFmtId="0" fontId="21" fillId="2" borderId="8" xfId="0" applyFont="1" applyFill="1" applyBorder="1" applyAlignment="1">
      <alignment horizontal="center" vertical="center" wrapText="1"/>
    </xf>
    <xf numFmtId="9" fontId="0" fillId="0" borderId="5" xfId="1" applyFont="1" applyBorder="1" applyAlignment="1">
      <alignment horizontal="center" vertical="top"/>
    </xf>
    <xf numFmtId="9" fontId="0" fillId="0" borderId="3" xfId="1" applyFont="1" applyFill="1" applyBorder="1" applyAlignment="1">
      <alignment horizontal="center" vertical="top"/>
    </xf>
    <xf numFmtId="9" fontId="0" fillId="0" borderId="5" xfId="1" applyFont="1" applyFill="1" applyBorder="1" applyAlignment="1">
      <alignment horizontal="center" vertical="top"/>
    </xf>
    <xf numFmtId="9" fontId="0" fillId="0" borderId="4" xfId="1" applyFont="1" applyFill="1" applyBorder="1" applyAlignment="1">
      <alignment horizontal="center" vertical="top"/>
    </xf>
    <xf numFmtId="9" fontId="0" fillId="0" borderId="3" xfId="1" applyNumberFormat="1" applyFont="1" applyFill="1" applyBorder="1" applyAlignment="1">
      <alignment horizontal="center" vertical="center"/>
    </xf>
    <xf numFmtId="9" fontId="1" fillId="0" borderId="1" xfId="1" applyFont="1" applyFill="1" applyBorder="1" applyAlignment="1">
      <alignment horizontal="center" vertical="top" wrapText="1"/>
    </xf>
    <xf numFmtId="9" fontId="1" fillId="0" borderId="1" xfId="0" applyNumberFormat="1" applyFont="1" applyFill="1" applyBorder="1" applyAlignment="1">
      <alignment horizontal="center" vertical="top" wrapText="1"/>
    </xf>
    <xf numFmtId="9" fontId="1" fillId="0" borderId="1" xfId="1" applyFont="1" applyBorder="1" applyAlignment="1">
      <alignment vertical="top" wrapText="1"/>
    </xf>
    <xf numFmtId="9" fontId="1" fillId="0" borderId="3" xfId="1" applyFont="1" applyBorder="1" applyAlignment="1">
      <alignment vertical="top" wrapText="1"/>
    </xf>
    <xf numFmtId="9" fontId="1" fillId="0" borderId="1" xfId="0" applyNumberFormat="1" applyFont="1" applyBorder="1" applyAlignment="1">
      <alignment horizontal="center" vertical="top" wrapText="1"/>
    </xf>
    <xf numFmtId="0" fontId="22" fillId="2" borderId="8" xfId="0" applyFont="1" applyFill="1" applyBorder="1" applyAlignment="1">
      <alignment horizontal="center" vertical="center" wrapText="1"/>
    </xf>
    <xf numFmtId="9" fontId="1" fillId="0" borderId="1" xfId="0" applyNumberFormat="1" applyFont="1" applyBorder="1" applyAlignment="1">
      <alignment horizontal="center" vertical="center"/>
    </xf>
    <xf numFmtId="9" fontId="1" fillId="0" borderId="1" xfId="1" applyFont="1" applyBorder="1" applyAlignment="1">
      <alignment horizontal="center" vertical="top" wrapText="1"/>
    </xf>
    <xf numFmtId="9" fontId="0" fillId="0" borderId="5" xfId="1" applyFont="1" applyBorder="1" applyAlignment="1">
      <alignment horizontal="center" vertical="top"/>
    </xf>
    <xf numFmtId="166" fontId="0" fillId="0" borderId="1" xfId="2" applyFont="1" applyBorder="1" applyAlignment="1">
      <alignment horizontal="center" vertical="center" wrapText="1"/>
    </xf>
    <xf numFmtId="0" fontId="21" fillId="4" borderId="8" xfId="0" applyFont="1" applyFill="1" applyBorder="1" applyAlignment="1">
      <alignment horizontal="center" vertical="center" wrapText="1"/>
    </xf>
    <xf numFmtId="9" fontId="11" fillId="0" borderId="0" xfId="1" applyFont="1" applyAlignment="1">
      <alignment horizontal="center" vertical="top"/>
    </xf>
    <xf numFmtId="0" fontId="22" fillId="4" borderId="8" xfId="0" applyFont="1" applyFill="1" applyBorder="1" applyAlignment="1">
      <alignment horizontal="center" vertical="center" wrapText="1"/>
    </xf>
    <xf numFmtId="9" fontId="1" fillId="0" borderId="0" xfId="1" applyFont="1" applyAlignment="1">
      <alignment horizontal="center" vertical="center"/>
    </xf>
    <xf numFmtId="0" fontId="16" fillId="4" borderId="8" xfId="0" applyFont="1" applyFill="1" applyBorder="1" applyAlignment="1">
      <alignment horizontal="center" vertical="center" wrapText="1"/>
    </xf>
    <xf numFmtId="166" fontId="1" fillId="0" borderId="0" xfId="0" applyNumberFormat="1" applyFont="1" applyAlignment="1">
      <alignment horizontal="center" vertical="center"/>
    </xf>
    <xf numFmtId="9" fontId="23" fillId="0" borderId="0" xfId="1" applyFont="1" applyAlignment="1">
      <alignment horizontal="center" vertical="center"/>
    </xf>
    <xf numFmtId="166" fontId="15" fillId="3" borderId="1" xfId="2" applyNumberFormat="1" applyFont="1" applyFill="1" applyBorder="1" applyAlignment="1">
      <alignment horizontal="left" wrapText="1"/>
    </xf>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9" fontId="1" fillId="2" borderId="1" xfId="1" applyFont="1" applyFill="1" applyBorder="1" applyAlignment="1">
      <alignment horizontal="center" vertical="top" wrapText="1"/>
    </xf>
    <xf numFmtId="9" fontId="1" fillId="2" borderId="1" xfId="1" applyFont="1" applyFill="1" applyBorder="1" applyAlignment="1">
      <alignment vertical="top" wrapText="1"/>
    </xf>
    <xf numFmtId="9" fontId="1" fillId="2" borderId="3" xfId="1" applyFont="1" applyFill="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9" fontId="1" fillId="0" borderId="1" xfId="1" applyFont="1" applyBorder="1" applyAlignment="1">
      <alignment horizontal="center" vertical="center" wrapText="1"/>
    </xf>
    <xf numFmtId="0" fontId="1" fillId="2" borderId="4" xfId="0" applyFont="1" applyFill="1" applyBorder="1" applyAlignment="1">
      <alignment horizontal="center" vertical="top" wrapText="1"/>
    </xf>
    <xf numFmtId="9" fontId="1" fillId="2" borderId="4" xfId="1" applyFont="1" applyFill="1" applyBorder="1" applyAlignment="1">
      <alignment horizontal="center" vertical="top" wrapText="1"/>
    </xf>
    <xf numFmtId="10" fontId="1" fillId="0" borderId="1" xfId="1" applyNumberFormat="1" applyFont="1" applyBorder="1" applyAlignment="1">
      <alignment horizontal="center" vertical="top" wrapText="1"/>
    </xf>
    <xf numFmtId="1"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9" fontId="1" fillId="2" borderId="1" xfId="0" applyNumberFormat="1" applyFont="1" applyFill="1" applyBorder="1" applyAlignment="1">
      <alignment horizontal="center" vertical="top" wrapText="1"/>
    </xf>
    <xf numFmtId="0" fontId="1" fillId="2" borderId="3" xfId="0" applyFont="1" applyFill="1" applyBorder="1" applyAlignment="1">
      <alignment horizontal="center" vertical="top" wrapText="1"/>
    </xf>
    <xf numFmtId="9" fontId="1" fillId="0" borderId="3" xfId="1" applyFont="1" applyBorder="1" applyAlignment="1">
      <alignment horizontal="center" vertical="center"/>
    </xf>
    <xf numFmtId="9" fontId="1" fillId="0" borderId="5" xfId="1" applyFont="1" applyBorder="1" applyAlignment="1">
      <alignment horizontal="center" vertical="center"/>
    </xf>
    <xf numFmtId="9" fontId="1" fillId="0" borderId="4" xfId="1"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9" fontId="1" fillId="0" borderId="3" xfId="1" applyFont="1" applyBorder="1" applyAlignment="1">
      <alignment horizontal="center" vertical="center" wrapText="1"/>
    </xf>
    <xf numFmtId="9" fontId="1" fillId="0" borderId="5" xfId="1" applyFont="1" applyBorder="1" applyAlignment="1">
      <alignment horizontal="center" vertical="center" wrapText="1"/>
    </xf>
    <xf numFmtId="9" fontId="1" fillId="0" borderId="4" xfId="1" applyFont="1" applyBorder="1" applyAlignment="1">
      <alignment horizontal="center" vertical="center" wrapText="1"/>
    </xf>
    <xf numFmtId="9" fontId="0" fillId="0" borderId="3" xfId="1" applyFont="1" applyBorder="1" applyAlignment="1">
      <alignment horizontal="center" vertical="top"/>
    </xf>
    <xf numFmtId="9" fontId="0" fillId="0" borderId="5" xfId="1" applyFont="1" applyBorder="1" applyAlignment="1">
      <alignment horizontal="center" vertical="top"/>
    </xf>
    <xf numFmtId="9" fontId="0" fillId="0" borderId="4" xfId="1" applyFont="1" applyBorder="1" applyAlignment="1">
      <alignment horizontal="center" vertical="top"/>
    </xf>
    <xf numFmtId="9" fontId="1" fillId="2" borderId="3" xfId="1" applyFont="1" applyFill="1" applyBorder="1" applyAlignment="1">
      <alignment horizontal="center" vertical="center" wrapText="1"/>
    </xf>
    <xf numFmtId="9" fontId="1" fillId="2" borderId="5" xfId="1" applyFont="1" applyFill="1" applyBorder="1" applyAlignment="1">
      <alignment horizontal="center" vertical="center" wrapText="1"/>
    </xf>
    <xf numFmtId="9" fontId="1" fillId="2" borderId="4" xfId="1" applyFont="1" applyFill="1" applyBorder="1" applyAlignment="1">
      <alignment horizontal="center" vertical="center" wrapText="1"/>
    </xf>
    <xf numFmtId="9" fontId="0" fillId="0" borderId="3" xfId="1" applyFont="1" applyBorder="1" applyAlignment="1">
      <alignment horizontal="center" vertical="center"/>
    </xf>
    <xf numFmtId="9" fontId="0" fillId="0" borderId="5" xfId="1" applyFont="1" applyBorder="1" applyAlignment="1">
      <alignment horizontal="center" vertical="center"/>
    </xf>
    <xf numFmtId="9" fontId="0" fillId="0" borderId="4" xfId="1" applyFont="1" applyBorder="1" applyAlignment="1">
      <alignment horizontal="center" vertical="center"/>
    </xf>
    <xf numFmtId="9" fontId="1" fillId="2" borderId="3" xfId="1" applyFont="1" applyFill="1" applyBorder="1" applyAlignment="1">
      <alignment horizontal="center" vertical="top" wrapText="1"/>
    </xf>
    <xf numFmtId="9" fontId="1" fillId="2" borderId="5" xfId="1" applyFont="1" applyFill="1" applyBorder="1" applyAlignment="1">
      <alignment horizontal="center" vertical="top" wrapText="1"/>
    </xf>
    <xf numFmtId="9" fontId="1" fillId="2" borderId="4" xfId="1" applyFont="1" applyFill="1" applyBorder="1" applyAlignment="1">
      <alignment horizontal="center" vertical="top" wrapText="1"/>
    </xf>
    <xf numFmtId="9" fontId="1" fillId="0" borderId="1" xfId="1" applyFont="1" applyBorder="1" applyAlignment="1">
      <alignment horizontal="center" vertical="top" wrapText="1"/>
    </xf>
    <xf numFmtId="0" fontId="1" fillId="0" borderId="1" xfId="0" applyFont="1" applyBorder="1" applyAlignment="1">
      <alignment horizontal="center" vertical="top" wrapText="1"/>
    </xf>
    <xf numFmtId="9" fontId="1" fillId="0" borderId="3" xfId="1" applyFont="1" applyBorder="1" applyAlignment="1">
      <alignment horizontal="center" vertical="top" wrapText="1"/>
    </xf>
    <xf numFmtId="9" fontId="1" fillId="0" borderId="5" xfId="1" applyFont="1" applyBorder="1" applyAlignment="1">
      <alignment horizontal="center" vertical="top" wrapText="1"/>
    </xf>
    <xf numFmtId="9" fontId="1" fillId="0" borderId="4" xfId="1" applyFont="1" applyBorder="1" applyAlignment="1">
      <alignment horizontal="center" vertical="top" wrapText="1"/>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 fillId="0" borderId="7" xfId="0" applyFont="1" applyBorder="1" applyAlignment="1">
      <alignment horizontal="center" vertical="top"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3" xfId="0" applyNumberFormat="1" applyBorder="1" applyAlignment="1">
      <alignment horizontal="center" vertical="center" wrapText="1"/>
    </xf>
    <xf numFmtId="0" fontId="0" fillId="0" borderId="5" xfId="0" applyNumberFormat="1" applyBorder="1" applyAlignment="1">
      <alignment horizontal="center" vertical="center" wrapText="1"/>
    </xf>
    <xf numFmtId="0" fontId="0" fillId="0" borderId="4" xfId="0" applyNumberFormat="1" applyBorder="1" applyAlignment="1">
      <alignment horizontal="center" vertical="center"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9" fontId="1" fillId="0" borderId="1" xfId="1" applyFont="1" applyBorder="1" applyAlignment="1">
      <alignment horizontal="center" vertical="center"/>
    </xf>
    <xf numFmtId="17"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166" fontId="1" fillId="0" borderId="3" xfId="2" applyFont="1" applyBorder="1" applyAlignment="1">
      <alignment horizontal="center" vertical="top" wrapText="1"/>
    </xf>
    <xf numFmtId="166" fontId="1" fillId="0" borderId="4" xfId="2" applyFont="1" applyBorder="1" applyAlignment="1">
      <alignment horizontal="center" vertical="top" wrapText="1"/>
    </xf>
    <xf numFmtId="170" fontId="0" fillId="0" borderId="3" xfId="0" applyNumberFormat="1" applyBorder="1" applyAlignment="1">
      <alignment horizontal="center" vertical="top"/>
    </xf>
    <xf numFmtId="170" fontId="0" fillId="0" borderId="4" xfId="0" applyNumberFormat="1" applyBorder="1" applyAlignment="1">
      <alignment horizontal="center" vertical="top"/>
    </xf>
    <xf numFmtId="17" fontId="1" fillId="0" borderId="1" xfId="0" applyNumberFormat="1" applyFont="1" applyBorder="1" applyAlignment="1">
      <alignment horizontal="center" vertical="top" wrapText="1"/>
    </xf>
    <xf numFmtId="0" fontId="1" fillId="0" borderId="5" xfId="0" applyFont="1" applyBorder="1" applyAlignment="1">
      <alignment horizontal="center" vertical="top" wrapText="1"/>
    </xf>
    <xf numFmtId="166" fontId="0" fillId="0" borderId="3" xfId="2" applyFont="1" applyBorder="1" applyAlignment="1">
      <alignment horizontal="center" vertical="top"/>
    </xf>
    <xf numFmtId="166" fontId="0" fillId="0" borderId="5" xfId="2" applyFont="1" applyBorder="1" applyAlignment="1">
      <alignment horizontal="center" vertical="top"/>
    </xf>
    <xf numFmtId="166" fontId="0" fillId="0" borderId="4" xfId="2" applyFont="1" applyBorder="1" applyAlignment="1">
      <alignment horizontal="center" vertical="top"/>
    </xf>
    <xf numFmtId="0" fontId="1" fillId="0" borderId="5" xfId="0" applyFont="1" applyFill="1" applyBorder="1" applyAlignment="1">
      <alignment horizontal="center"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1" fillId="0" borderId="1" xfId="0" applyFont="1" applyBorder="1" applyAlignment="1">
      <alignment horizontal="center" vertical="center"/>
    </xf>
    <xf numFmtId="17" fontId="1" fillId="0" borderId="1" xfId="0" applyNumberFormat="1" applyFont="1" applyBorder="1" applyAlignment="1">
      <alignment horizontal="center" vertical="top"/>
    </xf>
    <xf numFmtId="0" fontId="1" fillId="0" borderId="1" xfId="0" applyFont="1" applyBorder="1" applyAlignment="1">
      <alignment horizontal="center" vertical="top"/>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horizontal="right" vertical="top"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top" wrapText="1"/>
    </xf>
    <xf numFmtId="0" fontId="11" fillId="0" borderId="2" xfId="0" applyFont="1" applyBorder="1" applyAlignment="1">
      <alignment horizontal="center" vertical="center" wrapText="1"/>
    </xf>
    <xf numFmtId="0" fontId="1" fillId="5" borderId="3" xfId="0" applyFont="1" applyFill="1" applyBorder="1" applyAlignment="1">
      <alignment horizontal="center" vertical="top" wrapText="1"/>
    </xf>
    <xf numFmtId="0" fontId="1" fillId="5" borderId="5" xfId="0" applyFont="1" applyFill="1" applyBorder="1" applyAlignment="1">
      <alignment horizontal="center" vertical="top" wrapText="1"/>
    </xf>
    <xf numFmtId="0" fontId="1" fillId="5" borderId="4" xfId="0" applyFont="1" applyFill="1" applyBorder="1" applyAlignment="1">
      <alignment horizontal="center" vertical="top" wrapText="1"/>
    </xf>
    <xf numFmtId="1" fontId="0" fillId="0" borderId="3" xfId="0" applyNumberFormat="1" applyFill="1" applyBorder="1" applyAlignment="1">
      <alignment horizontal="center" vertical="top"/>
    </xf>
    <xf numFmtId="1" fontId="0" fillId="0" borderId="4" xfId="0" applyNumberFormat="1" applyFill="1" applyBorder="1" applyAlignment="1">
      <alignment horizontal="center" vertical="top"/>
    </xf>
    <xf numFmtId="1" fontId="0" fillId="5" borderId="3" xfId="0" applyNumberFormat="1" applyFill="1" applyBorder="1" applyAlignment="1">
      <alignment horizontal="center" vertical="top"/>
    </xf>
    <xf numFmtId="1" fontId="0" fillId="5" borderId="4" xfId="0" applyNumberFormat="1" applyFill="1" applyBorder="1" applyAlignment="1">
      <alignment horizontal="center" vertical="top"/>
    </xf>
    <xf numFmtId="0" fontId="0" fillId="5" borderId="3" xfId="0" applyNumberFormat="1" applyFill="1" applyBorder="1" applyAlignment="1">
      <alignment horizontal="center" vertical="top" wrapText="1"/>
    </xf>
    <xf numFmtId="0" fontId="0" fillId="5" borderId="4" xfId="0" applyNumberFormat="1" applyFill="1" applyBorder="1" applyAlignment="1">
      <alignment horizontal="center" vertical="top" wrapText="1"/>
    </xf>
    <xf numFmtId="0" fontId="1" fillId="5" borderId="3" xfId="0" applyFont="1" applyFill="1" applyBorder="1" applyAlignment="1">
      <alignment vertical="top" wrapText="1"/>
    </xf>
    <xf numFmtId="0" fontId="1" fillId="5" borderId="4" xfId="0" applyFont="1" applyFill="1" applyBorder="1" applyAlignment="1">
      <alignment vertical="top" wrapText="1"/>
    </xf>
    <xf numFmtId="0" fontId="18" fillId="0" borderId="3" xfId="0" applyFont="1" applyBorder="1" applyAlignment="1">
      <alignment horizontal="center" wrapText="1"/>
    </xf>
    <xf numFmtId="0" fontId="18" fillId="0" borderId="5" xfId="0" applyFont="1" applyBorder="1" applyAlignment="1">
      <alignment horizontal="center" wrapText="1"/>
    </xf>
    <xf numFmtId="0" fontId="18" fillId="0" borderId="4" xfId="0" applyFont="1" applyBorder="1" applyAlignment="1">
      <alignment horizontal="center" wrapText="1"/>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xf numFmtId="0" fontId="0" fillId="0" borderId="1" xfId="0" applyBorder="1" applyAlignment="1">
      <alignment horizontal="center" vertical="top" wrapText="1"/>
    </xf>
    <xf numFmtId="166" fontId="0" fillId="0" borderId="1" xfId="2" applyFont="1" applyBorder="1" applyAlignment="1">
      <alignment horizontal="center" vertical="top"/>
    </xf>
    <xf numFmtId="166" fontId="0" fillId="0" borderId="1" xfId="2" applyFont="1" applyBorder="1" applyAlignment="1">
      <alignment horizontal="center" vertical="top" wrapText="1"/>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3"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horizontal="center" vertical="top"/>
    </xf>
    <xf numFmtId="0" fontId="18" fillId="3" borderId="3"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4" xfId="0" applyFont="1" applyFill="1" applyBorder="1" applyAlignment="1">
      <alignment horizontal="center" vertical="center" wrapText="1"/>
    </xf>
    <xf numFmtId="17" fontId="0" fillId="0" borderId="1" xfId="0" applyNumberFormat="1" applyBorder="1" applyAlignment="1">
      <alignment horizontal="justify" vertical="top" wrapText="1"/>
    </xf>
    <xf numFmtId="0" fontId="0" fillId="0" borderId="1" xfId="0" applyBorder="1" applyAlignment="1">
      <alignment horizontal="justify" vertical="top" wrapText="1"/>
    </xf>
    <xf numFmtId="17" fontId="0" fillId="0" borderId="1" xfId="0" applyNumberFormat="1" applyBorder="1" applyAlignment="1">
      <alignment horizontal="center" vertical="top"/>
    </xf>
    <xf numFmtId="17" fontId="0" fillId="0" borderId="1" xfId="0" applyNumberFormat="1" applyBorder="1" applyAlignment="1">
      <alignment horizontal="center" vertical="top" wrapText="1"/>
    </xf>
  </cellXfs>
  <cellStyles count="4">
    <cellStyle name="BodyStyle" xfId="3" xr:uid="{00000000-0005-0000-0000-000000000000}"/>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5"/>
  <sheetViews>
    <sheetView tabSelected="1" topLeftCell="A2" zoomScale="70" zoomScaleNormal="70" workbookViewId="0">
      <pane xSplit="6" ySplit="1" topLeftCell="G53" activePane="bottomRight" state="frozen"/>
      <selection activeCell="A2" sqref="A2"/>
      <selection pane="topRight" activeCell="G2" sqref="G2"/>
      <selection pane="bottomLeft" activeCell="A3" sqref="A3"/>
      <selection pane="bottomRight" activeCell="I57" sqref="I57"/>
    </sheetView>
  </sheetViews>
  <sheetFormatPr baseColWidth="10" defaultColWidth="11.453125" defaultRowHeight="18.5" x14ac:dyDescent="0.35"/>
  <cols>
    <col min="1" max="1" width="16.54296875" customWidth="1"/>
    <col min="2" max="2" width="18" customWidth="1"/>
    <col min="3" max="3" width="20.26953125" hidden="1" customWidth="1"/>
    <col min="4" max="4" width="20.1796875" hidden="1" customWidth="1"/>
    <col min="5" max="5" width="21" hidden="1" customWidth="1"/>
    <col min="6" max="6" width="23.54296875" customWidth="1"/>
    <col min="7" max="7" width="21.81640625" customWidth="1"/>
    <col min="8" max="8" width="17.26953125" customWidth="1"/>
    <col min="9" max="9" width="22.7265625" customWidth="1"/>
    <col min="10" max="10" width="23.26953125" style="9" customWidth="1"/>
    <col min="11" max="11" width="23.7265625" style="8" customWidth="1"/>
    <col min="12" max="12" width="29.1796875" style="30" customWidth="1"/>
    <col min="13" max="19" width="23.54296875" style="31" customWidth="1"/>
    <col min="20" max="20" width="23.26953125" style="7" customWidth="1"/>
    <col min="21" max="21" width="18.81640625" style="6" customWidth="1"/>
    <col min="22" max="22" width="21.7265625" style="5" customWidth="1"/>
    <col min="23" max="23" width="21" style="4" customWidth="1"/>
    <col min="24" max="24" width="15.54296875" style="3" customWidth="1"/>
    <col min="25" max="28" width="20.81640625" style="3" customWidth="1"/>
    <col min="29" max="29" width="20.81640625" style="176" customWidth="1"/>
    <col min="30" max="32" width="20.81640625" style="3" customWidth="1"/>
    <col min="33" max="33" width="33.54296875" style="3" customWidth="1"/>
    <col min="34" max="34" width="31.81640625" style="3" customWidth="1"/>
    <col min="35" max="35" width="20.81640625" style="3" customWidth="1"/>
    <col min="36" max="36" width="18.26953125" style="58" customWidth="1"/>
    <col min="37" max="37" width="18.1796875" style="58" customWidth="1"/>
    <col min="38" max="39" width="20.453125" style="68" customWidth="1"/>
    <col min="40" max="40" width="21" style="58" customWidth="1"/>
    <col min="41" max="41" width="18.81640625" style="1" customWidth="1"/>
    <col min="42" max="42" width="19.26953125" customWidth="1"/>
    <col min="43" max="43" width="17.26953125" customWidth="1"/>
    <col min="44" max="44" width="23.453125" style="58" customWidth="1"/>
    <col min="45" max="45" width="21.1796875" customWidth="1"/>
    <col min="46" max="47" width="22.1796875" customWidth="1"/>
    <col min="48" max="48" width="15.1796875" customWidth="1"/>
    <col min="49" max="49" width="20.81640625" customWidth="1"/>
    <col min="50" max="50" width="17.81640625" customWidth="1"/>
    <col min="51" max="51" width="16.54296875" style="84" customWidth="1"/>
    <col min="52" max="52" width="15.1796875" style="84" customWidth="1"/>
    <col min="53" max="53" width="32.81640625" customWidth="1"/>
    <col min="54" max="54" width="32.54296875" customWidth="1"/>
    <col min="56" max="56" width="27.453125" customWidth="1"/>
  </cols>
  <sheetData>
    <row r="1" spans="1:54" ht="59.25" hidden="1" customHeight="1" x14ac:dyDescent="0.35">
      <c r="E1" s="302" t="s">
        <v>347</v>
      </c>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row>
    <row r="2" spans="1:54" s="10" customFormat="1" ht="108.65" customHeight="1" x14ac:dyDescent="0.3">
      <c r="A2" s="11" t="s">
        <v>21</v>
      </c>
      <c r="B2" s="11" t="s">
        <v>20</v>
      </c>
      <c r="C2" s="11" t="s">
        <v>19</v>
      </c>
      <c r="D2" s="11" t="s">
        <v>18</v>
      </c>
      <c r="E2" s="11" t="s">
        <v>17</v>
      </c>
      <c r="F2" s="11" t="s">
        <v>16</v>
      </c>
      <c r="G2" s="11" t="s">
        <v>15</v>
      </c>
      <c r="H2" s="11" t="s">
        <v>14</v>
      </c>
      <c r="I2" s="11" t="s">
        <v>13</v>
      </c>
      <c r="J2" s="11" t="s">
        <v>12</v>
      </c>
      <c r="K2" s="11" t="s">
        <v>30</v>
      </c>
      <c r="L2" s="11" t="s">
        <v>11</v>
      </c>
      <c r="M2" s="11" t="s">
        <v>24</v>
      </c>
      <c r="N2" s="96" t="s">
        <v>469</v>
      </c>
      <c r="O2" s="96" t="s">
        <v>516</v>
      </c>
      <c r="P2" s="201" t="s">
        <v>603</v>
      </c>
      <c r="Q2" s="201" t="s">
        <v>604</v>
      </c>
      <c r="R2" s="201" t="s">
        <v>605</v>
      </c>
      <c r="S2" s="201" t="s">
        <v>606</v>
      </c>
      <c r="T2" s="15" t="s">
        <v>10</v>
      </c>
      <c r="U2" s="24" t="s">
        <v>28</v>
      </c>
      <c r="V2" s="16" t="s">
        <v>9</v>
      </c>
      <c r="W2" s="16" t="s">
        <v>8</v>
      </c>
      <c r="X2" s="14" t="s">
        <v>31</v>
      </c>
      <c r="Y2" s="96" t="s">
        <v>470</v>
      </c>
      <c r="Z2" s="96" t="s">
        <v>517</v>
      </c>
      <c r="AA2" s="203" t="s">
        <v>607</v>
      </c>
      <c r="AB2" s="203" t="s">
        <v>608</v>
      </c>
      <c r="AC2" s="164" t="s">
        <v>584</v>
      </c>
      <c r="AD2" s="164" t="s">
        <v>585</v>
      </c>
      <c r="AE2" s="164" t="s">
        <v>586</v>
      </c>
      <c r="AF2" s="164" t="s">
        <v>587</v>
      </c>
      <c r="AG2" s="205" t="s">
        <v>588</v>
      </c>
      <c r="AH2" s="205" t="s">
        <v>589</v>
      </c>
      <c r="AI2" s="205" t="s">
        <v>581</v>
      </c>
      <c r="AJ2" s="11" t="s">
        <v>7</v>
      </c>
      <c r="AK2" s="11" t="s">
        <v>29</v>
      </c>
      <c r="AL2" s="11" t="s">
        <v>23</v>
      </c>
      <c r="AM2" s="98" t="s">
        <v>515</v>
      </c>
      <c r="AN2" s="11" t="s">
        <v>25</v>
      </c>
      <c r="AO2" s="11" t="s">
        <v>6</v>
      </c>
      <c r="AP2" s="11" t="s">
        <v>5</v>
      </c>
      <c r="AQ2" s="11" t="s">
        <v>4</v>
      </c>
      <c r="AR2" s="11" t="s">
        <v>26</v>
      </c>
      <c r="AS2" s="11" t="s">
        <v>3</v>
      </c>
      <c r="AT2" s="11" t="s">
        <v>2</v>
      </c>
      <c r="AU2" s="11" t="s">
        <v>471</v>
      </c>
      <c r="AV2" s="11" t="s">
        <v>1</v>
      </c>
      <c r="AW2" s="97" t="s">
        <v>563</v>
      </c>
      <c r="AX2" s="11" t="s">
        <v>0</v>
      </c>
      <c r="AY2" s="11" t="s">
        <v>27</v>
      </c>
      <c r="AZ2" s="11" t="s">
        <v>22</v>
      </c>
      <c r="BA2" s="98" t="s">
        <v>519</v>
      </c>
      <c r="BB2" s="98" t="s">
        <v>518</v>
      </c>
    </row>
    <row r="3" spans="1:54" ht="87" x14ac:dyDescent="0.35">
      <c r="A3" s="246" t="s">
        <v>32</v>
      </c>
      <c r="B3" s="246" t="s">
        <v>33</v>
      </c>
      <c r="C3" s="17" t="s">
        <v>34</v>
      </c>
      <c r="D3" s="17" t="s">
        <v>35</v>
      </c>
      <c r="E3" s="17" t="s">
        <v>36</v>
      </c>
      <c r="F3" s="301" t="s">
        <v>37</v>
      </c>
      <c r="G3" s="209" t="s">
        <v>38</v>
      </c>
      <c r="H3" s="209" t="s">
        <v>280</v>
      </c>
      <c r="I3" s="209" t="s">
        <v>39</v>
      </c>
      <c r="J3" s="209" t="s">
        <v>194</v>
      </c>
      <c r="K3" s="209">
        <v>1</v>
      </c>
      <c r="L3" s="25">
        <v>1</v>
      </c>
      <c r="M3" s="28">
        <v>0</v>
      </c>
      <c r="N3" s="28">
        <v>0</v>
      </c>
      <c r="O3" s="28">
        <v>0</v>
      </c>
      <c r="P3" s="70">
        <f>(O3+N3)/(L3)</f>
        <v>0</v>
      </c>
      <c r="Q3" s="233">
        <f>SUM(P3:P5)/(2)</f>
        <v>0.5</v>
      </c>
      <c r="R3" s="70">
        <f>(O3+N3+M3)/(K3)</f>
        <v>0</v>
      </c>
      <c r="S3" s="233">
        <f>SUM(R3:R5)/(2)</f>
        <v>0.5</v>
      </c>
      <c r="T3" s="246" t="s">
        <v>282</v>
      </c>
      <c r="U3" s="246" t="s">
        <v>283</v>
      </c>
      <c r="V3" s="246" t="s">
        <v>236</v>
      </c>
      <c r="W3" s="32" t="s">
        <v>303</v>
      </c>
      <c r="X3" s="38">
        <v>1</v>
      </c>
      <c r="Y3" s="91">
        <v>0</v>
      </c>
      <c r="Z3" s="126">
        <v>0</v>
      </c>
      <c r="AA3" s="178">
        <f>(Z3+Y3)/(X3)</f>
        <v>0</v>
      </c>
      <c r="AB3" s="224">
        <f>SUM(AA3:AA5)/3</f>
        <v>0.55555555555555547</v>
      </c>
      <c r="AC3" s="250" t="s">
        <v>582</v>
      </c>
      <c r="AD3" s="253" t="s">
        <v>583</v>
      </c>
      <c r="AE3" s="227">
        <v>150000000</v>
      </c>
      <c r="AF3" s="227">
        <v>149200000</v>
      </c>
      <c r="AG3" s="227">
        <v>150000001</v>
      </c>
      <c r="AH3" s="227">
        <v>149200000</v>
      </c>
      <c r="AI3" s="224">
        <f>AH3/AG3</f>
        <v>0.99466666003555559</v>
      </c>
      <c r="AJ3" s="74">
        <v>44682</v>
      </c>
      <c r="AK3" s="64">
        <v>244</v>
      </c>
      <c r="AL3" s="49" t="s">
        <v>307</v>
      </c>
      <c r="AM3" s="89">
        <v>0</v>
      </c>
      <c r="AN3" s="69">
        <v>0.47499999999999998</v>
      </c>
      <c r="AO3" s="37" t="s">
        <v>366</v>
      </c>
      <c r="AP3" s="37" t="s">
        <v>367</v>
      </c>
      <c r="AQ3" s="45" t="s">
        <v>368</v>
      </c>
      <c r="AR3" s="49" t="s">
        <v>306</v>
      </c>
      <c r="AS3" s="46" t="s">
        <v>370</v>
      </c>
      <c r="AT3" s="54" t="s">
        <v>306</v>
      </c>
      <c r="AU3" s="89" t="s">
        <v>405</v>
      </c>
      <c r="AV3" s="54" t="s">
        <v>306</v>
      </c>
      <c r="AW3" s="89" t="s">
        <v>306</v>
      </c>
      <c r="AX3" s="46" t="s">
        <v>404</v>
      </c>
      <c r="AY3" s="54" t="s">
        <v>306</v>
      </c>
      <c r="AZ3" s="86">
        <v>44743</v>
      </c>
      <c r="BA3" s="94" t="s">
        <v>476</v>
      </c>
      <c r="BB3" s="127" t="s">
        <v>476</v>
      </c>
    </row>
    <row r="4" spans="1:54" ht="116" x14ac:dyDescent="0.35">
      <c r="A4" s="246"/>
      <c r="B4" s="246"/>
      <c r="C4" s="17" t="s">
        <v>40</v>
      </c>
      <c r="D4" s="17" t="s">
        <v>41</v>
      </c>
      <c r="E4" s="17" t="s">
        <v>42</v>
      </c>
      <c r="F4" s="301"/>
      <c r="G4" s="209" t="s">
        <v>43</v>
      </c>
      <c r="H4" s="209" t="s">
        <v>280</v>
      </c>
      <c r="I4" s="209" t="s">
        <v>44</v>
      </c>
      <c r="J4" s="209" t="s">
        <v>195</v>
      </c>
      <c r="K4" s="209">
        <v>1</v>
      </c>
      <c r="L4" s="29">
        <v>0</v>
      </c>
      <c r="M4" s="28">
        <v>0</v>
      </c>
      <c r="N4" s="102" t="s">
        <v>503</v>
      </c>
      <c r="O4" s="138" t="s">
        <v>503</v>
      </c>
      <c r="P4" s="177"/>
      <c r="Q4" s="234"/>
      <c r="R4" s="177"/>
      <c r="S4" s="234"/>
      <c r="T4" s="246"/>
      <c r="U4" s="246"/>
      <c r="V4" s="246"/>
      <c r="W4" s="32" t="s">
        <v>305</v>
      </c>
      <c r="X4" s="38">
        <v>8</v>
      </c>
      <c r="Y4" s="91">
        <v>9</v>
      </c>
      <c r="Z4" s="126">
        <v>0</v>
      </c>
      <c r="AA4" s="178">
        <v>1</v>
      </c>
      <c r="AB4" s="225"/>
      <c r="AC4" s="251"/>
      <c r="AD4" s="254"/>
      <c r="AE4" s="228"/>
      <c r="AF4" s="228"/>
      <c r="AG4" s="228"/>
      <c r="AH4" s="228"/>
      <c r="AI4" s="225"/>
      <c r="AJ4" s="74">
        <v>44562</v>
      </c>
      <c r="AK4" s="64">
        <v>180</v>
      </c>
      <c r="AL4" s="89" t="s">
        <v>308</v>
      </c>
      <c r="AM4" s="89" t="s">
        <v>308</v>
      </c>
      <c r="AN4" s="69">
        <v>0.05</v>
      </c>
      <c r="AO4" s="37" t="s">
        <v>366</v>
      </c>
      <c r="AP4" s="37" t="s">
        <v>367</v>
      </c>
      <c r="AQ4" s="45" t="s">
        <v>368</v>
      </c>
      <c r="AR4" s="59">
        <v>150000000</v>
      </c>
      <c r="AS4" s="46" t="s">
        <v>372</v>
      </c>
      <c r="AT4" s="46" t="s">
        <v>373</v>
      </c>
      <c r="AU4" s="88" t="s">
        <v>405</v>
      </c>
      <c r="AV4" s="46" t="s">
        <v>374</v>
      </c>
      <c r="AW4" s="99">
        <v>149200000</v>
      </c>
      <c r="AX4" s="46" t="s">
        <v>404</v>
      </c>
      <c r="AY4" s="101" t="s">
        <v>446</v>
      </c>
      <c r="AZ4" s="86">
        <v>44562</v>
      </c>
      <c r="BA4" s="89" t="s">
        <v>473</v>
      </c>
      <c r="BB4" s="138" t="s">
        <v>528</v>
      </c>
    </row>
    <row r="5" spans="1:54" ht="103.9" customHeight="1" x14ac:dyDescent="0.35">
      <c r="A5" s="246"/>
      <c r="B5" s="246"/>
      <c r="C5" s="17" t="s">
        <v>45</v>
      </c>
      <c r="D5" s="17" t="s">
        <v>46</v>
      </c>
      <c r="E5" s="17" t="s">
        <v>47</v>
      </c>
      <c r="F5" s="301"/>
      <c r="G5" s="209" t="s">
        <v>48</v>
      </c>
      <c r="H5" s="209" t="s">
        <v>280</v>
      </c>
      <c r="I5" s="209" t="s">
        <v>49</v>
      </c>
      <c r="J5" s="209" t="s">
        <v>196</v>
      </c>
      <c r="K5" s="209">
        <v>3</v>
      </c>
      <c r="L5" s="29">
        <v>3</v>
      </c>
      <c r="M5" s="28">
        <v>3</v>
      </c>
      <c r="N5" s="28">
        <v>3</v>
      </c>
      <c r="O5" s="28">
        <v>3</v>
      </c>
      <c r="P5" s="70">
        <f>100%</f>
        <v>1</v>
      </c>
      <c r="Q5" s="235"/>
      <c r="R5" s="70">
        <v>1</v>
      </c>
      <c r="S5" s="235"/>
      <c r="T5" s="246"/>
      <c r="U5" s="246"/>
      <c r="V5" s="246"/>
      <c r="W5" s="89" t="s">
        <v>304</v>
      </c>
      <c r="X5" s="38">
        <v>3</v>
      </c>
      <c r="Y5" s="91">
        <v>1</v>
      </c>
      <c r="Z5" s="126">
        <v>1</v>
      </c>
      <c r="AA5" s="178">
        <f t="shared" ref="AA5:AA14" si="0">(Z5+Y5)/(X5)</f>
        <v>0.66666666666666663</v>
      </c>
      <c r="AB5" s="226"/>
      <c r="AC5" s="252"/>
      <c r="AD5" s="255"/>
      <c r="AE5" s="229"/>
      <c r="AF5" s="229"/>
      <c r="AG5" s="229"/>
      <c r="AH5" s="229"/>
      <c r="AI5" s="226"/>
      <c r="AJ5" s="74">
        <v>44682</v>
      </c>
      <c r="AK5" s="64">
        <v>244</v>
      </c>
      <c r="AL5" s="49" t="s">
        <v>308</v>
      </c>
      <c r="AM5" s="89" t="s">
        <v>308</v>
      </c>
      <c r="AN5" s="69">
        <v>0.47499999999999998</v>
      </c>
      <c r="AO5" s="37" t="s">
        <v>366</v>
      </c>
      <c r="AP5" s="37" t="s">
        <v>367</v>
      </c>
      <c r="AQ5" s="45" t="s">
        <v>369</v>
      </c>
      <c r="AR5" s="49" t="s">
        <v>306</v>
      </c>
      <c r="AS5" s="46" t="s">
        <v>371</v>
      </c>
      <c r="AT5" s="54" t="s">
        <v>306</v>
      </c>
      <c r="AU5" s="89" t="s">
        <v>405</v>
      </c>
      <c r="AV5" s="54" t="s">
        <v>306</v>
      </c>
      <c r="AW5" s="146" t="s">
        <v>306</v>
      </c>
      <c r="AX5" s="46" t="s">
        <v>404</v>
      </c>
      <c r="AY5" s="54" t="s">
        <v>306</v>
      </c>
      <c r="AZ5" s="86">
        <v>44743</v>
      </c>
      <c r="BA5" s="89" t="s">
        <v>472</v>
      </c>
      <c r="BB5" s="127" t="s">
        <v>520</v>
      </c>
    </row>
    <row r="6" spans="1:54" ht="87" customHeight="1" x14ac:dyDescent="0.35">
      <c r="A6" s="246" t="s">
        <v>50</v>
      </c>
      <c r="B6" s="246" t="s">
        <v>51</v>
      </c>
      <c r="C6" s="271" t="s">
        <v>52</v>
      </c>
      <c r="D6" s="271" t="s">
        <v>53</v>
      </c>
      <c r="E6" s="271" t="s">
        <v>54</v>
      </c>
      <c r="F6" s="303" t="s">
        <v>55</v>
      </c>
      <c r="G6" s="210" t="s">
        <v>56</v>
      </c>
      <c r="H6" s="209" t="s">
        <v>280</v>
      </c>
      <c r="I6" s="210" t="s">
        <v>57</v>
      </c>
      <c r="J6" s="210" t="s">
        <v>197</v>
      </c>
      <c r="K6" s="210">
        <v>60</v>
      </c>
      <c r="L6" s="29">
        <v>15</v>
      </c>
      <c r="M6" s="48">
        <f>788+1217</f>
        <v>2005</v>
      </c>
      <c r="N6" s="48">
        <v>115</v>
      </c>
      <c r="O6" s="48">
        <v>506</v>
      </c>
      <c r="P6" s="190">
        <v>1</v>
      </c>
      <c r="Q6" s="317">
        <f>SUM(P6:P8)/(2)</f>
        <v>0.96666666666666667</v>
      </c>
      <c r="R6" s="187">
        <v>1</v>
      </c>
      <c r="S6" s="317">
        <f>SUM(R6:R8)/(2)</f>
        <v>1</v>
      </c>
      <c r="T6" s="271" t="s">
        <v>237</v>
      </c>
      <c r="U6" s="271" t="s">
        <v>238</v>
      </c>
      <c r="V6" s="246" t="s">
        <v>239</v>
      </c>
      <c r="W6" s="33" t="s">
        <v>310</v>
      </c>
      <c r="X6" s="38">
        <v>15</v>
      </c>
      <c r="Y6" s="104">
        <v>115</v>
      </c>
      <c r="Z6" s="140">
        <v>506</v>
      </c>
      <c r="AA6" s="178">
        <v>1</v>
      </c>
      <c r="AB6" s="224">
        <f>SUM(AA6:AA8)/3</f>
        <v>0.97777777777777786</v>
      </c>
      <c r="AC6" s="172" t="s">
        <v>590</v>
      </c>
      <c r="AD6" s="166" t="s">
        <v>591</v>
      </c>
      <c r="AE6" s="200">
        <v>382873239</v>
      </c>
      <c r="AF6" s="200">
        <v>371056085</v>
      </c>
      <c r="AG6" s="208">
        <v>2136611396.6600001</v>
      </c>
      <c r="AH6" s="208">
        <v>1924085825.3399999</v>
      </c>
      <c r="AI6" s="224">
        <f>AH6/AG6</f>
        <v>0.90053148099264801</v>
      </c>
      <c r="AJ6" s="74">
        <v>44562</v>
      </c>
      <c r="AK6" s="73">
        <v>365</v>
      </c>
      <c r="AL6" s="49" t="s">
        <v>309</v>
      </c>
      <c r="AM6" s="89" t="s">
        <v>309</v>
      </c>
      <c r="AN6" s="69">
        <v>0.4</v>
      </c>
      <c r="AO6" s="37" t="s">
        <v>366</v>
      </c>
      <c r="AP6" s="121" t="s">
        <v>546</v>
      </c>
      <c r="AQ6" s="45" t="s">
        <v>368</v>
      </c>
      <c r="AR6" s="60">
        <v>294800000</v>
      </c>
      <c r="AS6" s="46" t="s">
        <v>372</v>
      </c>
      <c r="AT6" s="46" t="s">
        <v>376</v>
      </c>
      <c r="AU6" s="88" t="s">
        <v>405</v>
      </c>
      <c r="AV6" s="46" t="s">
        <v>375</v>
      </c>
      <c r="AW6" s="99">
        <v>286400000</v>
      </c>
      <c r="AX6" s="46" t="s">
        <v>404</v>
      </c>
      <c r="AY6" s="56" t="s">
        <v>446</v>
      </c>
      <c r="AZ6" s="86">
        <v>44562</v>
      </c>
      <c r="BA6" s="110" t="s">
        <v>475</v>
      </c>
      <c r="BB6" s="138" t="s">
        <v>548</v>
      </c>
    </row>
    <row r="7" spans="1:54" ht="59.25" customHeight="1" x14ac:dyDescent="0.35">
      <c r="A7" s="246"/>
      <c r="B7" s="246"/>
      <c r="C7" s="278"/>
      <c r="D7" s="278"/>
      <c r="E7" s="278"/>
      <c r="F7" s="304"/>
      <c r="G7" s="312" t="s">
        <v>58</v>
      </c>
      <c r="H7" s="303" t="s">
        <v>280</v>
      </c>
      <c r="I7" s="312" t="s">
        <v>59</v>
      </c>
      <c r="J7" s="310" t="s">
        <v>198</v>
      </c>
      <c r="K7" s="308">
        <v>60</v>
      </c>
      <c r="L7" s="306">
        <v>15</v>
      </c>
      <c r="M7" s="306">
        <f>66+46</f>
        <v>112</v>
      </c>
      <c r="N7" s="306">
        <v>9</v>
      </c>
      <c r="O7" s="306">
        <v>5</v>
      </c>
      <c r="P7" s="317">
        <f>(O7+N7)/(L7)</f>
        <v>0.93333333333333335</v>
      </c>
      <c r="Q7" s="319"/>
      <c r="R7" s="188"/>
      <c r="S7" s="319"/>
      <c r="T7" s="278"/>
      <c r="U7" s="278"/>
      <c r="V7" s="246"/>
      <c r="W7" s="33" t="s">
        <v>311</v>
      </c>
      <c r="X7" s="38">
        <v>15</v>
      </c>
      <c r="Y7" s="104">
        <v>9</v>
      </c>
      <c r="Z7" s="140">
        <v>5</v>
      </c>
      <c r="AA7" s="178">
        <f t="shared" si="0"/>
        <v>0.93333333333333335</v>
      </c>
      <c r="AB7" s="225"/>
      <c r="AC7" s="173"/>
      <c r="AD7" s="168"/>
      <c r="AE7" s="167"/>
      <c r="AF7" s="167"/>
      <c r="AG7" s="159"/>
      <c r="AH7" s="159"/>
      <c r="AI7" s="225"/>
      <c r="AJ7" s="74">
        <v>44562</v>
      </c>
      <c r="AK7" s="73">
        <v>365</v>
      </c>
      <c r="AL7" s="49" t="s">
        <v>307</v>
      </c>
      <c r="AM7" s="89" t="s">
        <v>307</v>
      </c>
      <c r="AN7" s="69">
        <v>0.4</v>
      </c>
      <c r="AO7" s="37" t="s">
        <v>366</v>
      </c>
      <c r="AP7" s="138" t="s">
        <v>546</v>
      </c>
      <c r="AQ7" s="45" t="s">
        <v>368</v>
      </c>
      <c r="AR7" s="61">
        <v>88073238.989999995</v>
      </c>
      <c r="AS7" s="46" t="s">
        <v>372</v>
      </c>
      <c r="AT7" s="46" t="s">
        <v>376</v>
      </c>
      <c r="AU7" s="88" t="s">
        <v>405</v>
      </c>
      <c r="AV7" s="46" t="s">
        <v>375</v>
      </c>
      <c r="AW7" s="99">
        <v>84656085</v>
      </c>
      <c r="AX7" s="46" t="s">
        <v>404</v>
      </c>
      <c r="AY7" s="88" t="s">
        <v>474</v>
      </c>
      <c r="AZ7" s="86">
        <v>44562</v>
      </c>
      <c r="BA7" s="110" t="s">
        <v>480</v>
      </c>
      <c r="BB7" s="138" t="s">
        <v>549</v>
      </c>
    </row>
    <row r="8" spans="1:54" ht="86.25" customHeight="1" x14ac:dyDescent="0.35">
      <c r="A8" s="246"/>
      <c r="B8" s="246"/>
      <c r="C8" s="272"/>
      <c r="D8" s="272"/>
      <c r="E8" s="272"/>
      <c r="F8" s="305"/>
      <c r="G8" s="313"/>
      <c r="H8" s="305"/>
      <c r="I8" s="313"/>
      <c r="J8" s="311"/>
      <c r="K8" s="309"/>
      <c r="L8" s="307"/>
      <c r="M8" s="307"/>
      <c r="N8" s="307"/>
      <c r="O8" s="307"/>
      <c r="P8" s="318"/>
      <c r="Q8" s="318"/>
      <c r="R8" s="189">
        <v>1</v>
      </c>
      <c r="S8" s="318"/>
      <c r="T8" s="272"/>
      <c r="U8" s="272"/>
      <c r="V8" s="138" t="s">
        <v>543</v>
      </c>
      <c r="W8" s="139" t="s">
        <v>544</v>
      </c>
      <c r="X8" s="140">
        <v>1</v>
      </c>
      <c r="Y8" s="140">
        <v>0</v>
      </c>
      <c r="Z8" s="119">
        <v>1</v>
      </c>
      <c r="AA8" s="178">
        <f t="shared" si="0"/>
        <v>1</v>
      </c>
      <c r="AB8" s="226"/>
      <c r="AC8" s="173"/>
      <c r="AD8" s="169"/>
      <c r="AE8" s="167"/>
      <c r="AF8" s="119"/>
      <c r="AG8" s="119"/>
      <c r="AH8" s="119"/>
      <c r="AI8" s="226"/>
      <c r="AJ8" s="144">
        <v>44652</v>
      </c>
      <c r="AK8" s="73">
        <v>60</v>
      </c>
      <c r="AL8" s="138" t="s">
        <v>307</v>
      </c>
      <c r="AM8" s="138" t="s">
        <v>307</v>
      </c>
      <c r="AN8" s="69">
        <v>0.2</v>
      </c>
      <c r="AO8" s="138" t="s">
        <v>366</v>
      </c>
      <c r="AP8" s="138" t="s">
        <v>546</v>
      </c>
      <c r="AQ8" s="138" t="s">
        <v>368</v>
      </c>
      <c r="AR8" s="62">
        <v>1753738157.6600001</v>
      </c>
      <c r="AS8" s="135" t="s">
        <v>545</v>
      </c>
      <c r="AT8" s="135" t="s">
        <v>376</v>
      </c>
      <c r="AU8" s="135" t="s">
        <v>405</v>
      </c>
      <c r="AV8" s="147" t="s">
        <v>375</v>
      </c>
      <c r="AW8" s="99">
        <f>1038000000+515029740.34</f>
        <v>1553029740.3399999</v>
      </c>
      <c r="AX8" s="135" t="s">
        <v>405</v>
      </c>
      <c r="AY8" s="135" t="s">
        <v>547</v>
      </c>
      <c r="AZ8" s="86">
        <v>44682</v>
      </c>
      <c r="BA8" s="135"/>
      <c r="BB8" s="158" t="s">
        <v>580</v>
      </c>
    </row>
    <row r="9" spans="1:54" ht="203" x14ac:dyDescent="0.35">
      <c r="A9" s="246"/>
      <c r="B9" s="246"/>
      <c r="C9" s="17" t="s">
        <v>60</v>
      </c>
      <c r="D9" s="17" t="s">
        <v>61</v>
      </c>
      <c r="E9" s="17" t="s">
        <v>62</v>
      </c>
      <c r="F9" s="301" t="s">
        <v>63</v>
      </c>
      <c r="G9" s="18" t="s">
        <v>281</v>
      </c>
      <c r="H9" s="17" t="s">
        <v>280</v>
      </c>
      <c r="I9" s="18" t="s">
        <v>64</v>
      </c>
      <c r="J9" s="18" t="s">
        <v>199</v>
      </c>
      <c r="K9" s="18">
        <v>1</v>
      </c>
      <c r="L9" s="29">
        <v>1</v>
      </c>
      <c r="M9" s="28">
        <v>0</v>
      </c>
      <c r="N9" s="28">
        <v>0</v>
      </c>
      <c r="O9" s="28">
        <v>0</v>
      </c>
      <c r="P9" s="70">
        <f>(O9+N9)/(L9)</f>
        <v>0</v>
      </c>
      <c r="Q9" s="239">
        <f>SUM(P9:P14)/3</f>
        <v>0.66666666666666663</v>
      </c>
      <c r="R9" s="70">
        <f>(O9+N9+M9)/(K9)</f>
        <v>0</v>
      </c>
      <c r="S9" s="233">
        <f>SUM(R9:R14)/3</f>
        <v>0.66666666666666663</v>
      </c>
      <c r="T9" s="246" t="s">
        <v>240</v>
      </c>
      <c r="U9" s="246" t="s">
        <v>241</v>
      </c>
      <c r="V9" s="23" t="s">
        <v>242</v>
      </c>
      <c r="W9" s="23" t="s">
        <v>312</v>
      </c>
      <c r="X9" s="38">
        <v>1</v>
      </c>
      <c r="Y9" s="91">
        <v>0</v>
      </c>
      <c r="Z9" s="126">
        <v>0</v>
      </c>
      <c r="AA9" s="178">
        <f t="shared" si="0"/>
        <v>0</v>
      </c>
      <c r="AB9" s="184"/>
      <c r="AC9" s="174" t="s">
        <v>582</v>
      </c>
      <c r="AD9" s="166" t="s">
        <v>592</v>
      </c>
      <c r="AE9" s="167">
        <v>1340056338</v>
      </c>
      <c r="AF9" s="167">
        <v>1221300883.3900001</v>
      </c>
      <c r="AG9" s="208">
        <v>1548891439</v>
      </c>
      <c r="AH9" s="208">
        <v>1233328514.2900002</v>
      </c>
      <c r="AI9" s="268">
        <f>AH9/AG9</f>
        <v>0.79626530513091709</v>
      </c>
      <c r="AJ9" s="163">
        <v>44713</v>
      </c>
      <c r="AK9" s="73">
        <v>210</v>
      </c>
      <c r="AL9" s="160" t="s">
        <v>307</v>
      </c>
      <c r="AM9" s="160">
        <v>0</v>
      </c>
      <c r="AN9" s="69">
        <v>0.1</v>
      </c>
      <c r="AO9" s="160" t="s">
        <v>366</v>
      </c>
      <c r="AP9" s="138" t="s">
        <v>546</v>
      </c>
      <c r="AQ9" s="45" t="s">
        <v>368</v>
      </c>
      <c r="AR9" s="53" t="s">
        <v>380</v>
      </c>
      <c r="AS9" s="75" t="s">
        <v>380</v>
      </c>
      <c r="AT9" s="75" t="s">
        <v>380</v>
      </c>
      <c r="AU9" s="101" t="s">
        <v>405</v>
      </c>
      <c r="AV9" s="93" t="s">
        <v>380</v>
      </c>
      <c r="AW9" s="75" t="s">
        <v>380</v>
      </c>
      <c r="AX9" s="134" t="s">
        <v>404</v>
      </c>
      <c r="AY9" s="56" t="s">
        <v>446</v>
      </c>
      <c r="AZ9" s="86">
        <v>44713</v>
      </c>
      <c r="BA9" s="88" t="s">
        <v>380</v>
      </c>
      <c r="BB9" s="128" t="s">
        <v>550</v>
      </c>
    </row>
    <row r="10" spans="1:54" ht="83.5" customHeight="1" x14ac:dyDescent="0.35">
      <c r="A10" s="246"/>
      <c r="B10" s="246"/>
      <c r="C10" s="246" t="s">
        <v>65</v>
      </c>
      <c r="D10" s="246" t="s">
        <v>66</v>
      </c>
      <c r="E10" s="246" t="s">
        <v>67</v>
      </c>
      <c r="F10" s="301"/>
      <c r="G10" s="271" t="s">
        <v>68</v>
      </c>
      <c r="H10" s="271" t="s">
        <v>280</v>
      </c>
      <c r="I10" s="271" t="s">
        <v>69</v>
      </c>
      <c r="J10" s="271" t="s">
        <v>200</v>
      </c>
      <c r="K10" s="271">
        <v>8</v>
      </c>
      <c r="L10" s="271">
        <v>2</v>
      </c>
      <c r="M10" s="271">
        <v>13</v>
      </c>
      <c r="N10" s="246">
        <v>3</v>
      </c>
      <c r="O10" s="246">
        <v>4</v>
      </c>
      <c r="P10" s="239">
        <v>1</v>
      </c>
      <c r="Q10" s="240"/>
      <c r="R10" s="233">
        <f>100%</f>
        <v>1</v>
      </c>
      <c r="S10" s="234"/>
      <c r="T10" s="246"/>
      <c r="U10" s="246"/>
      <c r="V10" s="271" t="s">
        <v>243</v>
      </c>
      <c r="W10" s="23" t="s">
        <v>313</v>
      </c>
      <c r="X10" s="38">
        <v>2</v>
      </c>
      <c r="Y10" s="91">
        <v>3</v>
      </c>
      <c r="Z10" s="126">
        <v>4</v>
      </c>
      <c r="AA10" s="178">
        <v>1</v>
      </c>
      <c r="AB10" s="227">
        <f>SUM(AA10:AA14)/5</f>
        <v>0.8</v>
      </c>
      <c r="AC10" s="170"/>
      <c r="AD10" s="169"/>
      <c r="AE10" s="167"/>
      <c r="AF10" s="167"/>
      <c r="AG10" s="161"/>
      <c r="AH10" s="161"/>
      <c r="AI10" s="268"/>
      <c r="AJ10" s="163">
        <v>44593</v>
      </c>
      <c r="AK10" s="73">
        <v>330</v>
      </c>
      <c r="AL10" s="160" t="s">
        <v>307</v>
      </c>
      <c r="AM10" s="160">
        <f>224+18+1721+500+80+200+20</f>
        <v>2763</v>
      </c>
      <c r="AN10" s="69">
        <v>0.1</v>
      </c>
      <c r="AO10" s="160" t="s">
        <v>366</v>
      </c>
      <c r="AP10" s="138" t="s">
        <v>546</v>
      </c>
      <c r="AQ10" s="45" t="s">
        <v>368</v>
      </c>
      <c r="AR10" s="155">
        <v>193300000</v>
      </c>
      <c r="AS10" s="153" t="s">
        <v>372</v>
      </c>
      <c r="AT10" s="46" t="s">
        <v>378</v>
      </c>
      <c r="AU10" s="101" t="s">
        <v>405</v>
      </c>
      <c r="AV10" s="46" t="s">
        <v>379</v>
      </c>
      <c r="AW10" s="155">
        <v>193300000</v>
      </c>
      <c r="AX10" s="147" t="s">
        <v>404</v>
      </c>
      <c r="AY10" s="147" t="s">
        <v>446</v>
      </c>
      <c r="AZ10" s="86">
        <v>44593</v>
      </c>
      <c r="BA10" s="153" t="s">
        <v>577</v>
      </c>
      <c r="BB10" s="153" t="s">
        <v>578</v>
      </c>
    </row>
    <row r="11" spans="1:54" ht="193.15" customHeight="1" x14ac:dyDescent="0.35">
      <c r="A11" s="246"/>
      <c r="B11" s="246"/>
      <c r="C11" s="246"/>
      <c r="D11" s="246"/>
      <c r="E11" s="246"/>
      <c r="F11" s="301"/>
      <c r="G11" s="272"/>
      <c r="H11" s="272"/>
      <c r="I11" s="272"/>
      <c r="J11" s="272"/>
      <c r="K11" s="272"/>
      <c r="L11" s="272"/>
      <c r="M11" s="272"/>
      <c r="N11" s="246"/>
      <c r="O11" s="246"/>
      <c r="P11" s="241"/>
      <c r="Q11" s="240"/>
      <c r="R11" s="235"/>
      <c r="S11" s="234"/>
      <c r="T11" s="246"/>
      <c r="U11" s="246"/>
      <c r="V11" s="272"/>
      <c r="W11" s="23" t="s">
        <v>316</v>
      </c>
      <c r="X11" s="38">
        <v>1</v>
      </c>
      <c r="Y11" s="91">
        <v>1</v>
      </c>
      <c r="Z11" s="126">
        <v>3</v>
      </c>
      <c r="AA11" s="178">
        <v>1</v>
      </c>
      <c r="AB11" s="228"/>
      <c r="AC11" s="175"/>
      <c r="AD11" s="168"/>
      <c r="AE11" s="161"/>
      <c r="AF11" s="161"/>
      <c r="AG11" s="161"/>
      <c r="AH11" s="161"/>
      <c r="AI11" s="268"/>
      <c r="AJ11" s="163">
        <v>44593</v>
      </c>
      <c r="AK11" s="73">
        <v>330</v>
      </c>
      <c r="AL11" s="160" t="s">
        <v>307</v>
      </c>
      <c r="AM11" s="160" t="s">
        <v>307</v>
      </c>
      <c r="AN11" s="69">
        <v>0.1</v>
      </c>
      <c r="AO11" s="160" t="s">
        <v>366</v>
      </c>
      <c r="AP11" s="121" t="s">
        <v>546</v>
      </c>
      <c r="AQ11" s="45" t="s">
        <v>368</v>
      </c>
      <c r="AR11" s="61">
        <v>208835100</v>
      </c>
      <c r="AS11" s="46" t="s">
        <v>377</v>
      </c>
      <c r="AT11" s="46" t="s">
        <v>378</v>
      </c>
      <c r="AU11" s="101" t="s">
        <v>405</v>
      </c>
      <c r="AV11" s="46" t="s">
        <v>379</v>
      </c>
      <c r="AW11" s="99">
        <v>12027630.9</v>
      </c>
      <c r="AX11" s="46" t="s">
        <v>405</v>
      </c>
      <c r="AY11" s="85" t="s">
        <v>402</v>
      </c>
      <c r="AZ11" s="86">
        <v>44593</v>
      </c>
      <c r="BA11" s="111" t="s">
        <v>478</v>
      </c>
      <c r="BB11" s="131" t="s">
        <v>521</v>
      </c>
    </row>
    <row r="12" spans="1:54" ht="114.65" customHeight="1" x14ac:dyDescent="0.35">
      <c r="A12" s="246"/>
      <c r="B12" s="246"/>
      <c r="C12" s="246"/>
      <c r="D12" s="246"/>
      <c r="E12" s="246"/>
      <c r="F12" s="301"/>
      <c r="G12" s="246" t="s">
        <v>70</v>
      </c>
      <c r="H12" s="246" t="s">
        <v>280</v>
      </c>
      <c r="I12" s="246" t="s">
        <v>71</v>
      </c>
      <c r="J12" s="246" t="s">
        <v>201</v>
      </c>
      <c r="K12" s="299">
        <v>17</v>
      </c>
      <c r="L12" s="246">
        <v>6</v>
      </c>
      <c r="M12" s="246" t="s">
        <v>295</v>
      </c>
      <c r="N12" s="246" t="s">
        <v>504</v>
      </c>
      <c r="O12" s="246" t="s">
        <v>560</v>
      </c>
      <c r="P12" s="247">
        <v>1</v>
      </c>
      <c r="Q12" s="240"/>
      <c r="R12" s="233">
        <v>1</v>
      </c>
      <c r="S12" s="234"/>
      <c r="T12" s="246"/>
      <c r="U12" s="246"/>
      <c r="V12" s="246" t="s">
        <v>244</v>
      </c>
      <c r="W12" s="35" t="s">
        <v>315</v>
      </c>
      <c r="X12" s="38">
        <v>24</v>
      </c>
      <c r="Y12" s="91">
        <v>24</v>
      </c>
      <c r="Z12" s="126">
        <v>0</v>
      </c>
      <c r="AA12" s="178">
        <f t="shared" si="0"/>
        <v>1</v>
      </c>
      <c r="AB12" s="228"/>
      <c r="AC12" s="173"/>
      <c r="AD12" s="159"/>
      <c r="AE12" s="159"/>
      <c r="AF12" s="159"/>
      <c r="AG12" s="159"/>
      <c r="AH12" s="159"/>
      <c r="AI12" s="159"/>
      <c r="AJ12" s="74">
        <v>44562</v>
      </c>
      <c r="AK12" s="64">
        <v>365</v>
      </c>
      <c r="AL12" s="49" t="s">
        <v>307</v>
      </c>
      <c r="AM12" s="89" t="s">
        <v>307</v>
      </c>
      <c r="AN12" s="69">
        <v>0.5</v>
      </c>
      <c r="AO12" s="37" t="s">
        <v>366</v>
      </c>
      <c r="AP12" s="138" t="s">
        <v>546</v>
      </c>
      <c r="AQ12" s="45" t="s">
        <v>368</v>
      </c>
      <c r="AR12" s="62">
        <f>1225400000-AR10</f>
        <v>1032100000</v>
      </c>
      <c r="AS12" s="153" t="s">
        <v>372</v>
      </c>
      <c r="AT12" s="46" t="s">
        <v>378</v>
      </c>
      <c r="AU12" s="101" t="s">
        <v>405</v>
      </c>
      <c r="AV12" s="46" t="s">
        <v>379</v>
      </c>
      <c r="AW12" s="62">
        <v>932900000</v>
      </c>
      <c r="AX12" s="46" t="s">
        <v>404</v>
      </c>
      <c r="AY12" s="56" t="s">
        <v>446</v>
      </c>
      <c r="AZ12" s="86">
        <v>44562</v>
      </c>
      <c r="BA12" s="101" t="s">
        <v>477</v>
      </c>
      <c r="BB12" s="135" t="s">
        <v>528</v>
      </c>
    </row>
    <row r="13" spans="1:54" ht="192" customHeight="1" x14ac:dyDescent="0.35">
      <c r="A13" s="246"/>
      <c r="B13" s="246"/>
      <c r="C13" s="246"/>
      <c r="D13" s="246"/>
      <c r="E13" s="246"/>
      <c r="F13" s="301"/>
      <c r="G13" s="246"/>
      <c r="H13" s="246"/>
      <c r="I13" s="246"/>
      <c r="J13" s="246"/>
      <c r="K13" s="299"/>
      <c r="L13" s="246"/>
      <c r="M13" s="246"/>
      <c r="N13" s="246"/>
      <c r="O13" s="246"/>
      <c r="P13" s="248"/>
      <c r="Q13" s="240"/>
      <c r="R13" s="234"/>
      <c r="S13" s="234"/>
      <c r="T13" s="246"/>
      <c r="U13" s="246"/>
      <c r="V13" s="246"/>
      <c r="W13" s="35" t="s">
        <v>314</v>
      </c>
      <c r="X13" s="38">
        <v>2</v>
      </c>
      <c r="Y13" s="91">
        <v>0</v>
      </c>
      <c r="Z13" s="126">
        <v>0</v>
      </c>
      <c r="AA13" s="178">
        <f t="shared" si="0"/>
        <v>0</v>
      </c>
      <c r="AB13" s="228"/>
      <c r="AC13" s="173"/>
      <c r="AD13" s="159"/>
      <c r="AE13" s="159"/>
      <c r="AF13" s="159"/>
      <c r="AG13" s="159"/>
      <c r="AH13" s="159"/>
      <c r="AI13" s="159"/>
      <c r="AJ13" s="74">
        <v>44593</v>
      </c>
      <c r="AK13" s="64">
        <v>330</v>
      </c>
      <c r="AL13" s="67">
        <v>123</v>
      </c>
      <c r="AM13" s="92">
        <v>0</v>
      </c>
      <c r="AN13" s="69">
        <v>0.1</v>
      </c>
      <c r="AO13" s="37" t="s">
        <v>366</v>
      </c>
      <c r="AP13" s="138" t="s">
        <v>546</v>
      </c>
      <c r="AQ13" s="45" t="s">
        <v>368</v>
      </c>
      <c r="AR13" s="62">
        <v>10120998</v>
      </c>
      <c r="AS13" s="46" t="s">
        <v>372</v>
      </c>
      <c r="AT13" s="46" t="s">
        <v>378</v>
      </c>
      <c r="AU13" s="101" t="s">
        <v>405</v>
      </c>
      <c r="AV13" s="46" t="s">
        <v>379</v>
      </c>
      <c r="AW13" s="99">
        <v>0</v>
      </c>
      <c r="AX13" s="46" t="s">
        <v>404</v>
      </c>
      <c r="AY13" s="56" t="s">
        <v>447</v>
      </c>
      <c r="AZ13" s="86">
        <v>44593</v>
      </c>
      <c r="BA13" s="114" t="s">
        <v>510</v>
      </c>
      <c r="BB13" s="47"/>
    </row>
    <row r="14" spans="1:54" ht="88.9" customHeight="1" x14ac:dyDescent="0.35">
      <c r="A14" s="246"/>
      <c r="B14" s="246"/>
      <c r="C14" s="246"/>
      <c r="D14" s="246"/>
      <c r="E14" s="246"/>
      <c r="F14" s="301"/>
      <c r="G14" s="246"/>
      <c r="H14" s="246"/>
      <c r="I14" s="246"/>
      <c r="J14" s="246"/>
      <c r="K14" s="299"/>
      <c r="L14" s="246"/>
      <c r="M14" s="246"/>
      <c r="N14" s="246"/>
      <c r="O14" s="246"/>
      <c r="P14" s="249"/>
      <c r="Q14" s="241"/>
      <c r="R14" s="235"/>
      <c r="S14" s="235"/>
      <c r="T14" s="246"/>
      <c r="U14" s="246"/>
      <c r="V14" s="246"/>
      <c r="W14" s="95" t="s">
        <v>479</v>
      </c>
      <c r="X14" s="38">
        <v>2</v>
      </c>
      <c r="Y14" s="91">
        <v>1</v>
      </c>
      <c r="Z14" s="126">
        <v>1</v>
      </c>
      <c r="AA14" s="178">
        <f t="shared" si="0"/>
        <v>1</v>
      </c>
      <c r="AB14" s="229"/>
      <c r="AC14" s="173"/>
      <c r="AD14" s="159"/>
      <c r="AE14" s="159"/>
      <c r="AF14" s="159"/>
      <c r="AG14" s="159"/>
      <c r="AH14" s="159"/>
      <c r="AI14" s="159"/>
      <c r="AJ14" s="74">
        <v>44593</v>
      </c>
      <c r="AK14" s="64">
        <v>330</v>
      </c>
      <c r="AL14" s="67">
        <v>33</v>
      </c>
      <c r="AM14" s="92">
        <v>33</v>
      </c>
      <c r="AN14" s="70">
        <v>0.1</v>
      </c>
      <c r="AO14" s="37" t="s">
        <v>366</v>
      </c>
      <c r="AP14" s="138" t="s">
        <v>546</v>
      </c>
      <c r="AQ14" s="45" t="s">
        <v>368</v>
      </c>
      <c r="AR14" s="62">
        <v>104535340</v>
      </c>
      <c r="AS14" s="46" t="s">
        <v>372</v>
      </c>
      <c r="AT14" s="46" t="s">
        <v>378</v>
      </c>
      <c r="AU14" s="101" t="s">
        <v>405</v>
      </c>
      <c r="AV14" s="46" t="s">
        <v>379</v>
      </c>
      <c r="AW14" s="99">
        <f>81271083.39+13829800</f>
        <v>95100883.390000001</v>
      </c>
      <c r="AX14" s="46" t="s">
        <v>404</v>
      </c>
      <c r="AY14" s="56" t="s">
        <v>448</v>
      </c>
      <c r="AZ14" s="86">
        <v>44593</v>
      </c>
      <c r="BA14" s="117" t="s">
        <v>523</v>
      </c>
      <c r="BB14" s="117" t="s">
        <v>522</v>
      </c>
    </row>
    <row r="15" spans="1:54" ht="174" x14ac:dyDescent="0.35">
      <c r="A15" s="246"/>
      <c r="B15" s="246"/>
      <c r="C15" s="18" t="s">
        <v>72</v>
      </c>
      <c r="D15" s="18" t="s">
        <v>73</v>
      </c>
      <c r="E15" s="18" t="s">
        <v>74</v>
      </c>
      <c r="F15" s="209" t="s">
        <v>75</v>
      </c>
      <c r="G15" s="18" t="s">
        <v>76</v>
      </c>
      <c r="H15" s="17" t="s">
        <v>280</v>
      </c>
      <c r="I15" s="18" t="s">
        <v>77</v>
      </c>
      <c r="J15" s="18" t="s">
        <v>202</v>
      </c>
      <c r="K15" s="18">
        <v>260</v>
      </c>
      <c r="L15" s="25">
        <v>79</v>
      </c>
      <c r="M15" s="46">
        <f>22+66</f>
        <v>88</v>
      </c>
      <c r="N15" s="88">
        <v>23</v>
      </c>
      <c r="O15" s="124">
        <v>59</v>
      </c>
      <c r="P15" s="191">
        <f>100%</f>
        <v>1</v>
      </c>
      <c r="Q15" s="192">
        <f>+P15</f>
        <v>1</v>
      </c>
      <c r="R15" s="191">
        <f>(O15+N15+M15)/(K15)</f>
        <v>0.65384615384615385</v>
      </c>
      <c r="S15" s="192">
        <f>+R15</f>
        <v>0.65384615384615385</v>
      </c>
      <c r="T15" s="18" t="s">
        <v>245</v>
      </c>
      <c r="U15" s="18" t="s">
        <v>246</v>
      </c>
      <c r="V15" s="17" t="s">
        <v>247</v>
      </c>
      <c r="W15" s="34" t="s">
        <v>317</v>
      </c>
      <c r="X15" s="38">
        <v>79</v>
      </c>
      <c r="Y15" s="104">
        <v>23</v>
      </c>
      <c r="Z15" s="140">
        <v>59</v>
      </c>
      <c r="AA15" s="178">
        <v>1</v>
      </c>
      <c r="AB15" s="197">
        <f>+AA15</f>
        <v>1</v>
      </c>
      <c r="AC15" s="174" t="s">
        <v>582</v>
      </c>
      <c r="AD15" s="166" t="s">
        <v>609</v>
      </c>
      <c r="AE15" s="200">
        <v>167507042</v>
      </c>
      <c r="AF15" s="200">
        <v>138852500</v>
      </c>
      <c r="AG15" s="200">
        <v>167507042</v>
      </c>
      <c r="AH15" s="200">
        <v>138852500</v>
      </c>
      <c r="AI15" s="171">
        <f>AH15/AG15</f>
        <v>0.82893529932908727</v>
      </c>
      <c r="AJ15" s="74">
        <v>44562</v>
      </c>
      <c r="AK15" s="64">
        <v>365</v>
      </c>
      <c r="AL15" s="49" t="s">
        <v>307</v>
      </c>
      <c r="AM15" s="102" t="s">
        <v>307</v>
      </c>
      <c r="AN15" s="71">
        <v>1</v>
      </c>
      <c r="AO15" s="37" t="s">
        <v>366</v>
      </c>
      <c r="AP15" s="138" t="s">
        <v>546</v>
      </c>
      <c r="AQ15" s="45" t="s">
        <v>368</v>
      </c>
      <c r="AR15" s="62">
        <v>167507042</v>
      </c>
      <c r="AS15" s="46" t="s">
        <v>372</v>
      </c>
      <c r="AT15" s="53" t="s">
        <v>381</v>
      </c>
      <c r="AU15" s="101" t="s">
        <v>405</v>
      </c>
      <c r="AV15" s="46" t="s">
        <v>382</v>
      </c>
      <c r="AW15" s="99">
        <v>138852500</v>
      </c>
      <c r="AX15" s="46" t="s">
        <v>404</v>
      </c>
      <c r="AY15" s="56" t="s">
        <v>446</v>
      </c>
      <c r="AZ15" s="83">
        <v>44562</v>
      </c>
      <c r="BA15" s="77" t="s">
        <v>481</v>
      </c>
      <c r="BB15" s="77" t="s">
        <v>564</v>
      </c>
    </row>
    <row r="16" spans="1:54" ht="159.5" x14ac:dyDescent="0.35">
      <c r="A16" s="246"/>
      <c r="B16" s="246"/>
      <c r="C16" s="18" t="s">
        <v>78</v>
      </c>
      <c r="D16" s="18" t="s">
        <v>79</v>
      </c>
      <c r="E16" s="18" t="s">
        <v>80</v>
      </c>
      <c r="F16" s="300" t="s">
        <v>81</v>
      </c>
      <c r="G16" s="18" t="s">
        <v>82</v>
      </c>
      <c r="H16" s="17" t="s">
        <v>280</v>
      </c>
      <c r="I16" s="18" t="s">
        <v>83</v>
      </c>
      <c r="J16" s="18" t="s">
        <v>203</v>
      </c>
      <c r="K16" s="18">
        <v>3</v>
      </c>
      <c r="L16" s="25">
        <v>3</v>
      </c>
      <c r="M16" s="25">
        <v>3</v>
      </c>
      <c r="N16" s="89">
        <v>3</v>
      </c>
      <c r="O16" s="125">
        <v>3</v>
      </c>
      <c r="P16" s="183">
        <v>1</v>
      </c>
      <c r="Q16" s="230">
        <f>SUM(P16:P19)/4</f>
        <v>0.91666666666666663</v>
      </c>
      <c r="R16" s="183">
        <v>1</v>
      </c>
      <c r="S16" s="236">
        <f>SUM(R16:R19)/4</f>
        <v>1</v>
      </c>
      <c r="T16" s="246" t="s">
        <v>248</v>
      </c>
      <c r="U16" s="246" t="s">
        <v>249</v>
      </c>
      <c r="V16" s="17" t="s">
        <v>250</v>
      </c>
      <c r="W16" s="34" t="s">
        <v>318</v>
      </c>
      <c r="X16" s="38">
        <v>48</v>
      </c>
      <c r="Y16" s="91">
        <v>48</v>
      </c>
      <c r="Z16" s="126">
        <v>0</v>
      </c>
      <c r="AA16" s="178">
        <f>(Z16+Y16)/(X16)</f>
        <v>1</v>
      </c>
      <c r="AB16" s="224">
        <f>SUM(AA16:AA19)/4</f>
        <v>0.91666666666666663</v>
      </c>
      <c r="AC16" s="257" t="s">
        <v>582</v>
      </c>
      <c r="AD16" s="260" t="s">
        <v>593</v>
      </c>
      <c r="AE16" s="263">
        <v>1914366199</v>
      </c>
      <c r="AF16" s="263">
        <v>1783303167.78</v>
      </c>
      <c r="AG16" s="263">
        <v>1914366199</v>
      </c>
      <c r="AH16" s="263">
        <v>1783303167.78</v>
      </c>
      <c r="AI16" s="224">
        <f>AH16/AG16</f>
        <v>0.9315371158932586</v>
      </c>
      <c r="AJ16" s="74">
        <v>44562</v>
      </c>
      <c r="AK16" s="64">
        <v>365</v>
      </c>
      <c r="AL16" s="49" t="s">
        <v>307</v>
      </c>
      <c r="AM16" s="102" t="s">
        <v>307</v>
      </c>
      <c r="AN16" s="71">
        <v>0.5</v>
      </c>
      <c r="AO16" s="37" t="s">
        <v>366</v>
      </c>
      <c r="AP16" s="138" t="s">
        <v>546</v>
      </c>
      <c r="AQ16" s="45" t="s">
        <v>368</v>
      </c>
      <c r="AR16" s="275">
        <v>1740200000</v>
      </c>
      <c r="AS16" s="266" t="s">
        <v>372</v>
      </c>
      <c r="AT16" s="266" t="s">
        <v>384</v>
      </c>
      <c r="AU16" s="266" t="s">
        <v>404</v>
      </c>
      <c r="AV16" s="266" t="s">
        <v>383</v>
      </c>
      <c r="AW16" s="275">
        <v>1639616666.6700001</v>
      </c>
      <c r="AX16" s="270" t="s">
        <v>404</v>
      </c>
      <c r="AY16" s="270" t="s">
        <v>446</v>
      </c>
      <c r="AZ16" s="269">
        <v>44562</v>
      </c>
      <c r="BA16" s="137" t="s">
        <v>511</v>
      </c>
      <c r="BB16" s="137" t="s">
        <v>528</v>
      </c>
    </row>
    <row r="17" spans="1:54" ht="120" customHeight="1" x14ac:dyDescent="0.35">
      <c r="A17" s="246"/>
      <c r="B17" s="246"/>
      <c r="C17" s="18" t="s">
        <v>84</v>
      </c>
      <c r="D17" s="18" t="s">
        <v>57</v>
      </c>
      <c r="E17" s="18" t="s">
        <v>85</v>
      </c>
      <c r="F17" s="300"/>
      <c r="G17" s="18" t="s">
        <v>86</v>
      </c>
      <c r="H17" s="17" t="s">
        <v>280</v>
      </c>
      <c r="I17" s="18" t="s">
        <v>87</v>
      </c>
      <c r="J17" s="18" t="s">
        <v>204</v>
      </c>
      <c r="K17" s="18">
        <v>3000</v>
      </c>
      <c r="L17" s="25">
        <v>1000</v>
      </c>
      <c r="M17" s="25">
        <v>2659</v>
      </c>
      <c r="N17" s="110">
        <v>356</v>
      </c>
      <c r="O17" s="124">
        <v>938</v>
      </c>
      <c r="P17" s="191">
        <v>1</v>
      </c>
      <c r="Q17" s="231"/>
      <c r="R17" s="183">
        <v>1</v>
      </c>
      <c r="S17" s="237"/>
      <c r="T17" s="246"/>
      <c r="U17" s="246"/>
      <c r="V17" s="17" t="s">
        <v>251</v>
      </c>
      <c r="W17" s="34" t="s">
        <v>319</v>
      </c>
      <c r="X17" s="38">
        <v>1000</v>
      </c>
      <c r="Y17" s="119">
        <v>356</v>
      </c>
      <c r="Z17" s="119">
        <v>938</v>
      </c>
      <c r="AA17" s="178">
        <v>1</v>
      </c>
      <c r="AB17" s="225"/>
      <c r="AC17" s="258"/>
      <c r="AD17" s="261"/>
      <c r="AE17" s="264"/>
      <c r="AF17" s="264"/>
      <c r="AG17" s="264"/>
      <c r="AH17" s="264"/>
      <c r="AI17" s="225"/>
      <c r="AJ17" s="120">
        <v>44593</v>
      </c>
      <c r="AK17" s="73">
        <v>330</v>
      </c>
      <c r="AL17" s="118">
        <v>1000</v>
      </c>
      <c r="AM17" s="118">
        <f>356+938</f>
        <v>1294</v>
      </c>
      <c r="AN17" s="71">
        <v>0.2</v>
      </c>
      <c r="AO17" s="37" t="s">
        <v>366</v>
      </c>
      <c r="AP17" s="138" t="s">
        <v>546</v>
      </c>
      <c r="AQ17" s="45" t="s">
        <v>368</v>
      </c>
      <c r="AR17" s="276"/>
      <c r="AS17" s="267"/>
      <c r="AT17" s="267"/>
      <c r="AU17" s="267"/>
      <c r="AV17" s="267"/>
      <c r="AW17" s="276"/>
      <c r="AX17" s="270"/>
      <c r="AY17" s="270"/>
      <c r="AZ17" s="270"/>
      <c r="BA17" s="137" t="s">
        <v>525</v>
      </c>
      <c r="BB17" s="137" t="s">
        <v>525</v>
      </c>
    </row>
    <row r="18" spans="1:54" ht="159.5" x14ac:dyDescent="0.35">
      <c r="A18" s="246"/>
      <c r="B18" s="246"/>
      <c r="C18" s="18" t="s">
        <v>88</v>
      </c>
      <c r="D18" s="18" t="s">
        <v>89</v>
      </c>
      <c r="E18" s="18" t="s">
        <v>90</v>
      </c>
      <c r="F18" s="300"/>
      <c r="G18" s="18" t="s">
        <v>91</v>
      </c>
      <c r="H18" s="17" t="s">
        <v>280</v>
      </c>
      <c r="I18" s="18" t="s">
        <v>92</v>
      </c>
      <c r="J18" s="18" t="s">
        <v>205</v>
      </c>
      <c r="K18" s="18">
        <v>6</v>
      </c>
      <c r="L18" s="26">
        <v>2</v>
      </c>
      <c r="M18" s="26" t="s">
        <v>302</v>
      </c>
      <c r="N18" s="103" t="s">
        <v>505</v>
      </c>
      <c r="O18" s="139" t="s">
        <v>561</v>
      </c>
      <c r="P18" s="193">
        <v>1</v>
      </c>
      <c r="Q18" s="231"/>
      <c r="R18" s="193">
        <v>1</v>
      </c>
      <c r="S18" s="237"/>
      <c r="T18" s="246"/>
      <c r="U18" s="246"/>
      <c r="V18" s="17" t="s">
        <v>250</v>
      </c>
      <c r="W18" s="34" t="s">
        <v>320</v>
      </c>
      <c r="X18" s="38">
        <v>2</v>
      </c>
      <c r="Y18" s="91">
        <v>1</v>
      </c>
      <c r="Z18" s="126">
        <v>1</v>
      </c>
      <c r="AA18" s="178">
        <f t="shared" ref="AA18:AA27" si="1">(Z18+Y18)/(X18)</f>
        <v>1</v>
      </c>
      <c r="AB18" s="225"/>
      <c r="AC18" s="258"/>
      <c r="AD18" s="261"/>
      <c r="AE18" s="264"/>
      <c r="AF18" s="264"/>
      <c r="AG18" s="264"/>
      <c r="AH18" s="264"/>
      <c r="AI18" s="225"/>
      <c r="AJ18" s="74">
        <v>44593</v>
      </c>
      <c r="AK18" s="64">
        <v>330</v>
      </c>
      <c r="AL18" s="49" t="s">
        <v>348</v>
      </c>
      <c r="AM18" s="89" t="s">
        <v>484</v>
      </c>
      <c r="AN18" s="71">
        <v>0.1</v>
      </c>
      <c r="AO18" s="37" t="s">
        <v>366</v>
      </c>
      <c r="AP18" s="138" t="s">
        <v>546</v>
      </c>
      <c r="AQ18" s="45" t="s">
        <v>368</v>
      </c>
      <c r="AR18" s="60">
        <f>160000000+14166199</f>
        <v>174166199</v>
      </c>
      <c r="AS18" s="46" t="s">
        <v>372</v>
      </c>
      <c r="AT18" s="46" t="s">
        <v>384</v>
      </c>
      <c r="AU18" s="88" t="s">
        <v>404</v>
      </c>
      <c r="AV18" s="46" t="s">
        <v>383</v>
      </c>
      <c r="AW18" s="151">
        <f>148148148+9345600</f>
        <v>157493748</v>
      </c>
      <c r="AX18" s="46" t="s">
        <v>404</v>
      </c>
      <c r="AY18" s="56" t="s">
        <v>448</v>
      </c>
      <c r="AZ18" s="86">
        <v>44593</v>
      </c>
      <c r="BA18" s="112" t="s">
        <v>482</v>
      </c>
      <c r="BB18" s="133" t="s">
        <v>524</v>
      </c>
    </row>
    <row r="19" spans="1:54" ht="101.5" x14ac:dyDescent="0.35">
      <c r="A19" s="246"/>
      <c r="B19" s="246"/>
      <c r="C19" s="18" t="s">
        <v>93</v>
      </c>
      <c r="D19" s="18" t="s">
        <v>94</v>
      </c>
      <c r="E19" s="18" t="s">
        <v>95</v>
      </c>
      <c r="F19" s="300"/>
      <c r="G19" s="18" t="s">
        <v>96</v>
      </c>
      <c r="H19" s="17" t="s">
        <v>280</v>
      </c>
      <c r="I19" s="18" t="s">
        <v>57</v>
      </c>
      <c r="J19" s="18" t="s">
        <v>206</v>
      </c>
      <c r="K19" s="18">
        <v>8</v>
      </c>
      <c r="L19" s="25">
        <v>3</v>
      </c>
      <c r="M19" s="25">
        <v>11</v>
      </c>
      <c r="N19" s="110">
        <v>0</v>
      </c>
      <c r="O19" s="124">
        <v>2</v>
      </c>
      <c r="P19" s="191">
        <f>(O19+N19)/L19</f>
        <v>0.66666666666666663</v>
      </c>
      <c r="Q19" s="232"/>
      <c r="R19" s="212">
        <v>1</v>
      </c>
      <c r="S19" s="238"/>
      <c r="T19" s="246"/>
      <c r="U19" s="246"/>
      <c r="V19" s="17" t="s">
        <v>252</v>
      </c>
      <c r="W19" s="34" t="s">
        <v>321</v>
      </c>
      <c r="X19" s="37">
        <v>3</v>
      </c>
      <c r="Y19" s="110">
        <v>0</v>
      </c>
      <c r="Z19" s="124">
        <v>2</v>
      </c>
      <c r="AA19" s="178">
        <f t="shared" si="1"/>
        <v>0.66666666666666663</v>
      </c>
      <c r="AB19" s="226"/>
      <c r="AC19" s="259"/>
      <c r="AD19" s="262"/>
      <c r="AE19" s="265"/>
      <c r="AF19" s="265"/>
      <c r="AG19" s="265"/>
      <c r="AH19" s="265"/>
      <c r="AI19" s="226"/>
      <c r="AJ19" s="120">
        <v>44593</v>
      </c>
      <c r="AK19" s="73">
        <v>330</v>
      </c>
      <c r="AL19" s="118">
        <v>400</v>
      </c>
      <c r="AM19" s="118">
        <v>55</v>
      </c>
      <c r="AN19" s="71">
        <v>0.2</v>
      </c>
      <c r="AO19" s="37" t="s">
        <v>366</v>
      </c>
      <c r="AP19" s="138" t="s">
        <v>546</v>
      </c>
      <c r="AQ19" s="45" t="s">
        <v>368</v>
      </c>
      <c r="AR19" s="102" t="s">
        <v>483</v>
      </c>
      <c r="AS19" s="46" t="s">
        <v>372</v>
      </c>
      <c r="AT19" s="46" t="s">
        <v>384</v>
      </c>
      <c r="AU19" s="88" t="s">
        <v>404</v>
      </c>
      <c r="AV19" s="46" t="s">
        <v>383</v>
      </c>
      <c r="AW19" s="102" t="s">
        <v>483</v>
      </c>
      <c r="AX19" s="46" t="s">
        <v>404</v>
      </c>
      <c r="AY19" s="56" t="s">
        <v>446</v>
      </c>
      <c r="AZ19" s="86">
        <v>44562</v>
      </c>
      <c r="BA19" s="47"/>
      <c r="BB19" s="133" t="s">
        <v>525</v>
      </c>
    </row>
    <row r="20" spans="1:54" ht="86.5" customHeight="1" x14ac:dyDescent="0.35">
      <c r="A20" s="246"/>
      <c r="B20" s="246"/>
      <c r="C20" s="246" t="s">
        <v>97</v>
      </c>
      <c r="D20" s="246" t="s">
        <v>98</v>
      </c>
      <c r="E20" s="246" t="s">
        <v>99</v>
      </c>
      <c r="F20" s="301" t="s">
        <v>100</v>
      </c>
      <c r="G20" s="18" t="s">
        <v>101</v>
      </c>
      <c r="H20" s="17" t="s">
        <v>280</v>
      </c>
      <c r="I20" s="18" t="s">
        <v>57</v>
      </c>
      <c r="J20" s="18" t="s">
        <v>207</v>
      </c>
      <c r="K20" s="18">
        <v>1</v>
      </c>
      <c r="L20" s="26" t="s">
        <v>296</v>
      </c>
      <c r="M20" s="28">
        <v>1</v>
      </c>
      <c r="N20" s="103" t="s">
        <v>296</v>
      </c>
      <c r="O20" s="139" t="s">
        <v>296</v>
      </c>
      <c r="P20" s="194"/>
      <c r="Q20" s="230">
        <f>SUM(P20:P22)/2</f>
        <v>0.40254237288135591</v>
      </c>
      <c r="R20" s="213">
        <v>1</v>
      </c>
      <c r="S20" s="242">
        <f>SUM(R20:R22)/3</f>
        <v>0.77777777777777779</v>
      </c>
      <c r="T20" s="271" t="s">
        <v>253</v>
      </c>
      <c r="U20" s="271" t="s">
        <v>254</v>
      </c>
      <c r="V20" s="271" t="s">
        <v>255</v>
      </c>
      <c r="W20" s="256" t="s">
        <v>322</v>
      </c>
      <c r="X20" s="246">
        <v>708</v>
      </c>
      <c r="Y20" s="246">
        <v>221</v>
      </c>
      <c r="Z20" s="246">
        <v>349</v>
      </c>
      <c r="AA20" s="178">
        <f t="shared" si="1"/>
        <v>0.80508474576271183</v>
      </c>
      <c r="AB20" s="230">
        <f>SUM(AA20:AA22)/2</f>
        <v>0.40254237288135591</v>
      </c>
      <c r="AC20" s="257" t="s">
        <v>582</v>
      </c>
      <c r="AD20" s="314" t="s">
        <v>594</v>
      </c>
      <c r="AE20" s="263">
        <v>363729577</v>
      </c>
      <c r="AF20" s="263">
        <v>165880300.37</v>
      </c>
      <c r="AG20" s="263">
        <v>363729577</v>
      </c>
      <c r="AH20" s="263">
        <v>165880300.37</v>
      </c>
      <c r="AI20" s="224">
        <f>AH20/AG20</f>
        <v>0.45605392263714645</v>
      </c>
      <c r="AJ20" s="277">
        <v>44593</v>
      </c>
      <c r="AK20" s="246">
        <v>330</v>
      </c>
      <c r="AL20" s="246">
        <v>708</v>
      </c>
      <c r="AM20" s="246">
        <f>221+349</f>
        <v>570</v>
      </c>
      <c r="AN20" s="245">
        <v>0.5</v>
      </c>
      <c r="AO20" s="271" t="s">
        <v>366</v>
      </c>
      <c r="AP20" s="271" t="s">
        <v>546</v>
      </c>
      <c r="AQ20" s="271" t="s">
        <v>368</v>
      </c>
      <c r="AR20" s="273">
        <v>246300000</v>
      </c>
      <c r="AS20" s="271" t="s">
        <v>372</v>
      </c>
      <c r="AT20" s="271" t="s">
        <v>386</v>
      </c>
      <c r="AU20" s="273" t="s">
        <v>405</v>
      </c>
      <c r="AV20" s="271" t="s">
        <v>385</v>
      </c>
      <c r="AW20" s="273">
        <v>165880300.37</v>
      </c>
      <c r="AX20" s="270" t="s">
        <v>404</v>
      </c>
      <c r="AY20" s="270" t="s">
        <v>446</v>
      </c>
      <c r="AZ20" s="269">
        <v>44562</v>
      </c>
      <c r="BA20" s="269" t="s">
        <v>485</v>
      </c>
      <c r="BB20" s="269" t="s">
        <v>551</v>
      </c>
    </row>
    <row r="21" spans="1:54" ht="61.15" customHeight="1" x14ac:dyDescent="0.35">
      <c r="A21" s="246"/>
      <c r="B21" s="246"/>
      <c r="C21" s="246"/>
      <c r="D21" s="246"/>
      <c r="E21" s="246"/>
      <c r="F21" s="301"/>
      <c r="G21" s="18" t="s">
        <v>102</v>
      </c>
      <c r="H21" s="17" t="s">
        <v>280</v>
      </c>
      <c r="I21" s="18" t="s">
        <v>103</v>
      </c>
      <c r="J21" s="18" t="s">
        <v>208</v>
      </c>
      <c r="K21" s="21">
        <v>2500</v>
      </c>
      <c r="L21" s="27">
        <v>708</v>
      </c>
      <c r="M21" s="28">
        <f>627+2337</f>
        <v>2964</v>
      </c>
      <c r="N21" s="28">
        <v>221</v>
      </c>
      <c r="O21" s="28">
        <v>349</v>
      </c>
      <c r="P21" s="186">
        <f>(O21+N21)/L21</f>
        <v>0.80508474576271183</v>
      </c>
      <c r="Q21" s="231"/>
      <c r="R21" s="186">
        <v>1</v>
      </c>
      <c r="S21" s="243"/>
      <c r="T21" s="278"/>
      <c r="U21" s="278"/>
      <c r="V21" s="278"/>
      <c r="W21" s="256"/>
      <c r="X21" s="246"/>
      <c r="Y21" s="246"/>
      <c r="Z21" s="246"/>
      <c r="AA21" s="178"/>
      <c r="AB21" s="231"/>
      <c r="AC21" s="258"/>
      <c r="AD21" s="315"/>
      <c r="AE21" s="264"/>
      <c r="AF21" s="264"/>
      <c r="AG21" s="264"/>
      <c r="AH21" s="264"/>
      <c r="AI21" s="225"/>
      <c r="AJ21" s="246"/>
      <c r="AK21" s="246"/>
      <c r="AL21" s="246"/>
      <c r="AM21" s="246"/>
      <c r="AN21" s="245"/>
      <c r="AO21" s="272"/>
      <c r="AP21" s="272" t="s">
        <v>361</v>
      </c>
      <c r="AQ21" s="272" t="s">
        <v>368</v>
      </c>
      <c r="AR21" s="274"/>
      <c r="AS21" s="272" t="s">
        <v>372</v>
      </c>
      <c r="AT21" s="272"/>
      <c r="AU21" s="274"/>
      <c r="AV21" s="272"/>
      <c r="AW21" s="274"/>
      <c r="AX21" s="270"/>
      <c r="AY21" s="270"/>
      <c r="AZ21" s="270"/>
      <c r="BA21" s="270"/>
      <c r="BB21" s="270"/>
    </row>
    <row r="22" spans="1:54" ht="82.9" customHeight="1" x14ac:dyDescent="0.35">
      <c r="A22" s="246"/>
      <c r="B22" s="246"/>
      <c r="C22" s="246"/>
      <c r="D22" s="246"/>
      <c r="E22" s="246"/>
      <c r="F22" s="301"/>
      <c r="G22" s="18" t="s">
        <v>104</v>
      </c>
      <c r="H22" s="17" t="s">
        <v>280</v>
      </c>
      <c r="I22" s="18" t="s">
        <v>105</v>
      </c>
      <c r="J22" s="18" t="s">
        <v>209</v>
      </c>
      <c r="K22" s="18">
        <v>120</v>
      </c>
      <c r="L22" s="25">
        <v>40</v>
      </c>
      <c r="M22" s="25">
        <v>40</v>
      </c>
      <c r="N22" s="102">
        <v>0</v>
      </c>
      <c r="O22" s="138">
        <v>0</v>
      </c>
      <c r="P22" s="186">
        <f>(O22+N22)/L22</f>
        <v>0</v>
      </c>
      <c r="Q22" s="232"/>
      <c r="R22" s="186">
        <f>(O22+N22+M22)/(K22)</f>
        <v>0.33333333333333331</v>
      </c>
      <c r="S22" s="244"/>
      <c r="T22" s="272"/>
      <c r="U22" s="272"/>
      <c r="V22" s="272"/>
      <c r="W22" s="39" t="s">
        <v>209</v>
      </c>
      <c r="X22" s="38">
        <v>40</v>
      </c>
      <c r="Y22" s="91">
        <v>0</v>
      </c>
      <c r="Z22" s="126">
        <v>0</v>
      </c>
      <c r="AA22" s="178">
        <f t="shared" si="1"/>
        <v>0</v>
      </c>
      <c r="AB22" s="232"/>
      <c r="AC22" s="259"/>
      <c r="AD22" s="316"/>
      <c r="AE22" s="265"/>
      <c r="AF22" s="265"/>
      <c r="AG22" s="265"/>
      <c r="AH22" s="265"/>
      <c r="AI22" s="225"/>
      <c r="AJ22" s="74">
        <v>44593</v>
      </c>
      <c r="AK22" s="64">
        <v>330</v>
      </c>
      <c r="AL22" s="67">
        <v>40</v>
      </c>
      <c r="AM22" s="92">
        <v>0</v>
      </c>
      <c r="AN22" s="71">
        <v>0.5</v>
      </c>
      <c r="AO22" s="37" t="s">
        <v>366</v>
      </c>
      <c r="AP22" s="138" t="s">
        <v>546</v>
      </c>
      <c r="AQ22" s="45" t="s">
        <v>368</v>
      </c>
      <c r="AR22" s="62">
        <v>117429577.2</v>
      </c>
      <c r="AS22" s="46" t="s">
        <v>372</v>
      </c>
      <c r="AT22" s="46" t="s">
        <v>386</v>
      </c>
      <c r="AU22" s="101" t="s">
        <v>405</v>
      </c>
      <c r="AV22" s="46" t="s">
        <v>385</v>
      </c>
      <c r="AW22" s="88">
        <v>0</v>
      </c>
      <c r="AX22" s="46" t="s">
        <v>404</v>
      </c>
      <c r="AY22" s="56" t="s">
        <v>449</v>
      </c>
      <c r="AZ22" s="86">
        <v>44593</v>
      </c>
      <c r="BA22" s="112" t="s">
        <v>486</v>
      </c>
      <c r="BB22" s="133" t="s">
        <v>486</v>
      </c>
    </row>
    <row r="23" spans="1:54" ht="130.5" x14ac:dyDescent="0.35">
      <c r="A23" s="246"/>
      <c r="B23" s="246"/>
      <c r="C23" s="246"/>
      <c r="D23" s="246"/>
      <c r="E23" s="246"/>
      <c r="F23" s="209" t="s">
        <v>106</v>
      </c>
      <c r="G23" s="18" t="s">
        <v>107</v>
      </c>
      <c r="H23" s="17" t="s">
        <v>280</v>
      </c>
      <c r="I23" s="18" t="s">
        <v>108</v>
      </c>
      <c r="J23" s="18" t="s">
        <v>210</v>
      </c>
      <c r="K23" s="18">
        <v>4</v>
      </c>
      <c r="L23" s="25">
        <v>1</v>
      </c>
      <c r="M23" s="25">
        <v>0</v>
      </c>
      <c r="N23" s="89">
        <v>0</v>
      </c>
      <c r="O23" s="125">
        <v>0</v>
      </c>
      <c r="P23" s="183">
        <f>(O23+N23)/(L23)</f>
        <v>0</v>
      </c>
      <c r="Q23" s="195">
        <f>+P23</f>
        <v>0</v>
      </c>
      <c r="R23" s="199">
        <f t="shared" ref="R23:R25" si="2">(O23+N23+M23)/(K23)</f>
        <v>0</v>
      </c>
      <c r="S23" s="195">
        <f>+R23</f>
        <v>0</v>
      </c>
      <c r="T23" s="46" t="s">
        <v>363</v>
      </c>
      <c r="U23" s="46" t="s">
        <v>362</v>
      </c>
      <c r="V23" s="18" t="s">
        <v>256</v>
      </c>
      <c r="W23" s="40" t="s">
        <v>323</v>
      </c>
      <c r="X23" s="38">
        <v>1</v>
      </c>
      <c r="Y23" s="91">
        <v>0</v>
      </c>
      <c r="Z23" s="126">
        <v>0</v>
      </c>
      <c r="AA23" s="178">
        <f t="shared" si="1"/>
        <v>0</v>
      </c>
      <c r="AB23" s="197">
        <f>+AA23</f>
        <v>0</v>
      </c>
      <c r="AC23" s="174" t="s">
        <v>582</v>
      </c>
      <c r="AD23" s="168" t="s">
        <v>595</v>
      </c>
      <c r="AE23" s="167">
        <v>213729577</v>
      </c>
      <c r="AF23" s="161">
        <v>0</v>
      </c>
      <c r="AG23" s="167">
        <v>213729577</v>
      </c>
      <c r="AH23" s="161">
        <v>0</v>
      </c>
      <c r="AI23" s="165">
        <f>AH23/AG23</f>
        <v>0</v>
      </c>
      <c r="AJ23" s="74">
        <v>44593</v>
      </c>
      <c r="AK23" s="64">
        <v>330</v>
      </c>
      <c r="AL23" s="49" t="s">
        <v>349</v>
      </c>
      <c r="AM23" s="89">
        <v>0</v>
      </c>
      <c r="AN23" s="71">
        <v>1</v>
      </c>
      <c r="AO23" s="37" t="s">
        <v>366</v>
      </c>
      <c r="AP23" s="138" t="s">
        <v>546</v>
      </c>
      <c r="AQ23" s="45" t="s">
        <v>368</v>
      </c>
      <c r="AR23" s="62">
        <v>213729577</v>
      </c>
      <c r="AS23" s="46" t="s">
        <v>372</v>
      </c>
      <c r="AT23" s="46" t="s">
        <v>387</v>
      </c>
      <c r="AU23" s="101" t="s">
        <v>405</v>
      </c>
      <c r="AV23" s="46" t="s">
        <v>388</v>
      </c>
      <c r="AW23" s="88">
        <v>0</v>
      </c>
      <c r="AX23" s="46" t="s">
        <v>404</v>
      </c>
      <c r="AY23" s="56" t="s">
        <v>446</v>
      </c>
      <c r="AZ23" s="86">
        <v>44713</v>
      </c>
      <c r="BA23" s="116" t="s">
        <v>496</v>
      </c>
      <c r="BB23" s="133" t="s">
        <v>486</v>
      </c>
    </row>
    <row r="24" spans="1:54" ht="147" customHeight="1" x14ac:dyDescent="0.35">
      <c r="A24" s="246"/>
      <c r="B24" s="246" t="s">
        <v>109</v>
      </c>
      <c r="C24" s="18" t="s">
        <v>110</v>
      </c>
      <c r="D24" s="18" t="s">
        <v>111</v>
      </c>
      <c r="E24" s="18" t="s">
        <v>112</v>
      </c>
      <c r="F24" s="301" t="s">
        <v>113</v>
      </c>
      <c r="G24" s="18" t="s">
        <v>114</v>
      </c>
      <c r="H24" s="17" t="s">
        <v>280</v>
      </c>
      <c r="I24" s="18" t="s">
        <v>115</v>
      </c>
      <c r="J24" s="18" t="s">
        <v>211</v>
      </c>
      <c r="K24" s="18">
        <v>61</v>
      </c>
      <c r="L24" s="25">
        <v>20</v>
      </c>
      <c r="M24" s="25">
        <v>0</v>
      </c>
      <c r="N24" s="89">
        <v>0</v>
      </c>
      <c r="O24" s="125">
        <v>0</v>
      </c>
      <c r="P24" s="183">
        <f t="shared" ref="P24:P25" si="3">(O24+N24)/(L24)</f>
        <v>0</v>
      </c>
      <c r="Q24" s="236">
        <f>SUM(P24:P30)/4</f>
        <v>0.58333333333333326</v>
      </c>
      <c r="R24" s="199">
        <f t="shared" si="2"/>
        <v>0</v>
      </c>
      <c r="S24" s="236">
        <f>SUM(R24:R30)/7</f>
        <v>0.75</v>
      </c>
      <c r="T24" s="246" t="s">
        <v>284</v>
      </c>
      <c r="U24" s="246" t="s">
        <v>285</v>
      </c>
      <c r="V24" s="17" t="s">
        <v>257</v>
      </c>
      <c r="W24" s="40" t="s">
        <v>211</v>
      </c>
      <c r="X24" s="38">
        <v>20</v>
      </c>
      <c r="Y24" s="91">
        <v>0</v>
      </c>
      <c r="Z24" s="126">
        <v>0</v>
      </c>
      <c r="AA24" s="178">
        <f t="shared" si="1"/>
        <v>0</v>
      </c>
      <c r="AB24" s="224">
        <f>(AA24:AA30)/6</f>
        <v>0</v>
      </c>
      <c r="AC24" s="257" t="s">
        <v>582</v>
      </c>
      <c r="AD24" s="260" t="s">
        <v>596</v>
      </c>
      <c r="AE24" s="263">
        <v>363729577</v>
      </c>
      <c r="AF24" s="263">
        <v>170829333.30000001</v>
      </c>
      <c r="AG24" s="263">
        <v>363729577</v>
      </c>
      <c r="AH24" s="263">
        <v>170829333.30000001</v>
      </c>
      <c r="AI24" s="224">
        <f>AH24/AG24</f>
        <v>0.46966027538640337</v>
      </c>
      <c r="AJ24" s="74">
        <v>44593</v>
      </c>
      <c r="AK24" s="64">
        <v>330</v>
      </c>
      <c r="AL24" s="67">
        <v>20</v>
      </c>
      <c r="AM24" s="92">
        <v>0</v>
      </c>
      <c r="AN24" s="71">
        <v>0.2</v>
      </c>
      <c r="AO24" s="37" t="s">
        <v>366</v>
      </c>
      <c r="AP24" s="138" t="s">
        <v>546</v>
      </c>
      <c r="AQ24" s="45" t="s">
        <v>368</v>
      </c>
      <c r="AR24" s="60">
        <v>30000000</v>
      </c>
      <c r="AS24" s="46" t="s">
        <v>372</v>
      </c>
      <c r="AT24" s="46" t="s">
        <v>284</v>
      </c>
      <c r="AU24" s="88" t="s">
        <v>404</v>
      </c>
      <c r="AV24" s="46" t="s">
        <v>389</v>
      </c>
      <c r="AW24" s="88">
        <v>0</v>
      </c>
      <c r="AX24" s="46" t="s">
        <v>404</v>
      </c>
      <c r="AY24" s="56" t="s">
        <v>449</v>
      </c>
      <c r="AZ24" s="86">
        <v>44593</v>
      </c>
      <c r="BA24" s="77" t="s">
        <v>486</v>
      </c>
      <c r="BB24" s="77" t="s">
        <v>486</v>
      </c>
    </row>
    <row r="25" spans="1:54" ht="127.9" customHeight="1" x14ac:dyDescent="0.35">
      <c r="A25" s="246"/>
      <c r="B25" s="246"/>
      <c r="C25" s="18" t="s">
        <v>116</v>
      </c>
      <c r="D25" s="18" t="s">
        <v>57</v>
      </c>
      <c r="E25" s="18" t="s">
        <v>117</v>
      </c>
      <c r="F25" s="301"/>
      <c r="G25" s="18" t="s">
        <v>118</v>
      </c>
      <c r="H25" s="17" t="s">
        <v>280</v>
      </c>
      <c r="I25" s="18" t="s">
        <v>57</v>
      </c>
      <c r="J25" s="18" t="s">
        <v>212</v>
      </c>
      <c r="K25" s="18">
        <v>8</v>
      </c>
      <c r="L25" s="25">
        <v>3</v>
      </c>
      <c r="M25" s="25">
        <v>1</v>
      </c>
      <c r="N25" s="89">
        <v>0</v>
      </c>
      <c r="O25" s="125">
        <v>1</v>
      </c>
      <c r="P25" s="183">
        <f t="shared" si="3"/>
        <v>0.33333333333333331</v>
      </c>
      <c r="Q25" s="237"/>
      <c r="R25" s="199">
        <f t="shared" si="2"/>
        <v>0.25</v>
      </c>
      <c r="S25" s="237"/>
      <c r="T25" s="246"/>
      <c r="U25" s="246"/>
      <c r="V25" s="298" t="s">
        <v>258</v>
      </c>
      <c r="W25" s="40" t="s">
        <v>212</v>
      </c>
      <c r="X25" s="38">
        <v>3</v>
      </c>
      <c r="Y25" s="91">
        <v>0</v>
      </c>
      <c r="Z25" s="126">
        <v>1</v>
      </c>
      <c r="AA25" s="178">
        <f t="shared" si="1"/>
        <v>0.33333333333333331</v>
      </c>
      <c r="AB25" s="225"/>
      <c r="AC25" s="258"/>
      <c r="AD25" s="261"/>
      <c r="AE25" s="264"/>
      <c r="AF25" s="264"/>
      <c r="AG25" s="264"/>
      <c r="AH25" s="264"/>
      <c r="AI25" s="225"/>
      <c r="AJ25" s="74">
        <v>44593</v>
      </c>
      <c r="AK25" s="64">
        <v>330</v>
      </c>
      <c r="AL25" s="67">
        <v>300</v>
      </c>
      <c r="AM25" s="92" t="s">
        <v>526</v>
      </c>
      <c r="AN25" s="71">
        <v>0.2</v>
      </c>
      <c r="AO25" s="37" t="s">
        <v>366</v>
      </c>
      <c r="AP25" s="138" t="s">
        <v>546</v>
      </c>
      <c r="AQ25" s="45" t="s">
        <v>368</v>
      </c>
      <c r="AR25" s="60">
        <v>30000000</v>
      </c>
      <c r="AS25" s="46" t="s">
        <v>372</v>
      </c>
      <c r="AT25" s="46" t="s">
        <v>284</v>
      </c>
      <c r="AU25" s="101" t="s">
        <v>404</v>
      </c>
      <c r="AV25" s="46" t="s">
        <v>389</v>
      </c>
      <c r="AW25" s="151">
        <v>18886000</v>
      </c>
      <c r="AX25" s="46" t="s">
        <v>404</v>
      </c>
      <c r="AY25" s="56" t="s">
        <v>447</v>
      </c>
      <c r="AZ25" s="86">
        <v>44593</v>
      </c>
      <c r="BA25" s="77" t="s">
        <v>486</v>
      </c>
      <c r="BB25" s="77" t="s">
        <v>552</v>
      </c>
    </row>
    <row r="26" spans="1:54" ht="174" x14ac:dyDescent="0.35">
      <c r="A26" s="246"/>
      <c r="B26" s="246"/>
      <c r="C26" s="18" t="s">
        <v>119</v>
      </c>
      <c r="D26" s="18" t="s">
        <v>120</v>
      </c>
      <c r="E26" s="18" t="s">
        <v>121</v>
      </c>
      <c r="F26" s="301"/>
      <c r="G26" s="18" t="s">
        <v>122</v>
      </c>
      <c r="H26" s="17" t="s">
        <v>280</v>
      </c>
      <c r="I26" s="18" t="s">
        <v>57</v>
      </c>
      <c r="J26" s="18" t="s">
        <v>213</v>
      </c>
      <c r="K26" s="214">
        <v>1</v>
      </c>
      <c r="L26" s="215">
        <v>1</v>
      </c>
      <c r="M26" s="215">
        <v>1</v>
      </c>
      <c r="N26" s="215">
        <v>1</v>
      </c>
      <c r="O26" s="215">
        <v>1</v>
      </c>
      <c r="P26" s="216">
        <v>1</v>
      </c>
      <c r="Q26" s="237"/>
      <c r="R26" s="199">
        <v>1</v>
      </c>
      <c r="S26" s="237"/>
      <c r="T26" s="246"/>
      <c r="U26" s="246"/>
      <c r="V26" s="298"/>
      <c r="W26" s="40" t="s">
        <v>213</v>
      </c>
      <c r="X26" s="38">
        <v>1</v>
      </c>
      <c r="Y26" s="91">
        <v>1</v>
      </c>
      <c r="Z26" s="126">
        <v>1</v>
      </c>
      <c r="AA26" s="178">
        <v>1</v>
      </c>
      <c r="AB26" s="225"/>
      <c r="AC26" s="258"/>
      <c r="AD26" s="261"/>
      <c r="AE26" s="264"/>
      <c r="AF26" s="264"/>
      <c r="AG26" s="264"/>
      <c r="AH26" s="264"/>
      <c r="AI26" s="225"/>
      <c r="AJ26" s="74">
        <v>44593</v>
      </c>
      <c r="AK26" s="64">
        <v>330</v>
      </c>
      <c r="AL26" s="50" t="s">
        <v>350</v>
      </c>
      <c r="AM26" s="90" t="s">
        <v>579</v>
      </c>
      <c r="AN26" s="71">
        <v>0.2</v>
      </c>
      <c r="AO26" s="37" t="s">
        <v>366</v>
      </c>
      <c r="AP26" s="138" t="s">
        <v>546</v>
      </c>
      <c r="AQ26" s="45" t="s">
        <v>368</v>
      </c>
      <c r="AR26" s="60">
        <v>74800000</v>
      </c>
      <c r="AS26" s="46" t="s">
        <v>372</v>
      </c>
      <c r="AT26" s="46" t="s">
        <v>284</v>
      </c>
      <c r="AU26" s="101" t="s">
        <v>404</v>
      </c>
      <c r="AV26" s="46" t="s">
        <v>389</v>
      </c>
      <c r="AW26" s="151">
        <f>15600000+31900000</f>
        <v>47500000</v>
      </c>
      <c r="AX26" s="46" t="s">
        <v>404</v>
      </c>
      <c r="AY26" s="56" t="s">
        <v>446</v>
      </c>
      <c r="AZ26" s="86">
        <v>44562</v>
      </c>
      <c r="BA26" s="77" t="s">
        <v>488</v>
      </c>
      <c r="BB26" s="77" t="s">
        <v>553</v>
      </c>
    </row>
    <row r="27" spans="1:54" ht="72.5" x14ac:dyDescent="0.35">
      <c r="A27" s="246"/>
      <c r="B27" s="246"/>
      <c r="C27" s="246" t="s">
        <v>123</v>
      </c>
      <c r="D27" s="246" t="s">
        <v>124</v>
      </c>
      <c r="E27" s="246" t="s">
        <v>125</v>
      </c>
      <c r="F27" s="301"/>
      <c r="G27" s="18" t="s">
        <v>126</v>
      </c>
      <c r="H27" s="17" t="s">
        <v>280</v>
      </c>
      <c r="I27" s="18" t="s">
        <v>57</v>
      </c>
      <c r="J27" s="26" t="s">
        <v>214</v>
      </c>
      <c r="K27" s="18">
        <v>1</v>
      </c>
      <c r="L27" s="25" t="s">
        <v>291</v>
      </c>
      <c r="M27" s="25" t="s">
        <v>297</v>
      </c>
      <c r="N27" s="102" t="s">
        <v>506</v>
      </c>
      <c r="O27" s="138" t="s">
        <v>506</v>
      </c>
      <c r="P27" s="183"/>
      <c r="Q27" s="237"/>
      <c r="R27" s="199">
        <v>1</v>
      </c>
      <c r="S27" s="237"/>
      <c r="T27" s="246"/>
      <c r="U27" s="246"/>
      <c r="V27" s="298" t="s">
        <v>259</v>
      </c>
      <c r="W27" s="256" t="s">
        <v>324</v>
      </c>
      <c r="X27" s="292">
        <v>1</v>
      </c>
      <c r="Y27" s="292">
        <v>1</v>
      </c>
      <c r="Z27" s="292">
        <v>0</v>
      </c>
      <c r="AA27" s="178">
        <f t="shared" si="1"/>
        <v>1</v>
      </c>
      <c r="AB27" s="225"/>
      <c r="AC27" s="258"/>
      <c r="AD27" s="261"/>
      <c r="AE27" s="264"/>
      <c r="AF27" s="264"/>
      <c r="AG27" s="264"/>
      <c r="AH27" s="264"/>
      <c r="AI27" s="225"/>
      <c r="AJ27" s="293">
        <v>44593</v>
      </c>
      <c r="AK27" s="294">
        <v>330</v>
      </c>
      <c r="AL27" s="246" t="s">
        <v>351</v>
      </c>
      <c r="AM27" s="294">
        <f>7585+5231</f>
        <v>12816</v>
      </c>
      <c r="AN27" s="245">
        <v>0.2</v>
      </c>
      <c r="AO27" s="271" t="s">
        <v>366</v>
      </c>
      <c r="AP27" s="271" t="s">
        <v>546</v>
      </c>
      <c r="AQ27" s="271" t="s">
        <v>368</v>
      </c>
      <c r="AR27" s="273">
        <f>50000000+147400000</f>
        <v>197400000</v>
      </c>
      <c r="AS27" s="271" t="s">
        <v>372</v>
      </c>
      <c r="AT27" s="271" t="s">
        <v>284</v>
      </c>
      <c r="AU27" s="271" t="s">
        <v>404</v>
      </c>
      <c r="AV27" s="271" t="s">
        <v>389</v>
      </c>
      <c r="AW27" s="273">
        <v>104443333</v>
      </c>
      <c r="AX27" s="270" t="s">
        <v>404</v>
      </c>
      <c r="AY27" s="270" t="s">
        <v>447</v>
      </c>
      <c r="AZ27" s="269">
        <v>44593</v>
      </c>
      <c r="BA27" s="271" t="s">
        <v>489</v>
      </c>
      <c r="BB27" s="271" t="s">
        <v>554</v>
      </c>
    </row>
    <row r="28" spans="1:54" ht="76.150000000000006" customHeight="1" x14ac:dyDescent="0.35">
      <c r="A28" s="246"/>
      <c r="B28" s="246"/>
      <c r="C28" s="246"/>
      <c r="D28" s="246"/>
      <c r="E28" s="246"/>
      <c r="F28" s="301"/>
      <c r="G28" s="18" t="s">
        <v>127</v>
      </c>
      <c r="H28" s="17" t="s">
        <v>280</v>
      </c>
      <c r="I28" s="18" t="s">
        <v>128</v>
      </c>
      <c r="J28" s="26" t="s">
        <v>215</v>
      </c>
      <c r="K28" s="18">
        <v>1</v>
      </c>
      <c r="L28" s="25" t="s">
        <v>290</v>
      </c>
      <c r="M28" s="25" t="s">
        <v>300</v>
      </c>
      <c r="N28" s="102" t="s">
        <v>562</v>
      </c>
      <c r="O28" s="138" t="s">
        <v>562</v>
      </c>
      <c r="P28" s="183"/>
      <c r="Q28" s="237"/>
      <c r="R28" s="199">
        <v>1</v>
      </c>
      <c r="S28" s="237"/>
      <c r="T28" s="246"/>
      <c r="U28" s="246"/>
      <c r="V28" s="298"/>
      <c r="W28" s="256"/>
      <c r="X28" s="292"/>
      <c r="Y28" s="292"/>
      <c r="Z28" s="292"/>
      <c r="AA28" s="178"/>
      <c r="AB28" s="225"/>
      <c r="AC28" s="258"/>
      <c r="AD28" s="261"/>
      <c r="AE28" s="264"/>
      <c r="AF28" s="264"/>
      <c r="AG28" s="264"/>
      <c r="AH28" s="264"/>
      <c r="AI28" s="225"/>
      <c r="AJ28" s="294">
        <v>44593</v>
      </c>
      <c r="AK28" s="294">
        <v>330</v>
      </c>
      <c r="AL28" s="246"/>
      <c r="AM28" s="294"/>
      <c r="AN28" s="245"/>
      <c r="AO28" s="272"/>
      <c r="AP28" s="272"/>
      <c r="AQ28" s="272"/>
      <c r="AR28" s="274"/>
      <c r="AS28" s="272"/>
      <c r="AT28" s="272"/>
      <c r="AU28" s="272"/>
      <c r="AV28" s="272"/>
      <c r="AW28" s="274"/>
      <c r="AX28" s="270"/>
      <c r="AY28" s="270"/>
      <c r="AZ28" s="270"/>
      <c r="BA28" s="272"/>
      <c r="BB28" s="272"/>
    </row>
    <row r="29" spans="1:54" ht="124.9" customHeight="1" x14ac:dyDescent="0.35">
      <c r="A29" s="246"/>
      <c r="B29" s="246"/>
      <c r="C29" s="246"/>
      <c r="D29" s="246"/>
      <c r="E29" s="246"/>
      <c r="F29" s="301"/>
      <c r="G29" s="18" t="s">
        <v>129</v>
      </c>
      <c r="H29" s="17" t="s">
        <v>280</v>
      </c>
      <c r="I29" s="18" t="s">
        <v>130</v>
      </c>
      <c r="J29" s="18" t="s">
        <v>216</v>
      </c>
      <c r="K29" s="18">
        <v>1</v>
      </c>
      <c r="L29" s="25">
        <v>1</v>
      </c>
      <c r="M29" s="26" t="s">
        <v>298</v>
      </c>
      <c r="N29" s="156">
        <v>1</v>
      </c>
      <c r="O29" s="156">
        <v>1</v>
      </c>
      <c r="P29" s="183">
        <v>1</v>
      </c>
      <c r="Q29" s="237"/>
      <c r="R29" s="199">
        <v>1</v>
      </c>
      <c r="S29" s="237"/>
      <c r="T29" s="246"/>
      <c r="U29" s="246"/>
      <c r="V29" s="298" t="s">
        <v>258</v>
      </c>
      <c r="W29" s="40" t="s">
        <v>325</v>
      </c>
      <c r="X29" s="38">
        <v>1</v>
      </c>
      <c r="Y29" s="119">
        <v>1</v>
      </c>
      <c r="Z29" s="119">
        <v>1</v>
      </c>
      <c r="AA29" s="178">
        <v>1</v>
      </c>
      <c r="AB29" s="225"/>
      <c r="AC29" s="258"/>
      <c r="AD29" s="261"/>
      <c r="AE29" s="264"/>
      <c r="AF29" s="264"/>
      <c r="AG29" s="264"/>
      <c r="AH29" s="264"/>
      <c r="AI29" s="225"/>
      <c r="AJ29" s="74">
        <v>44593</v>
      </c>
      <c r="AK29" s="64">
        <v>330</v>
      </c>
      <c r="AL29" s="49" t="s">
        <v>307</v>
      </c>
      <c r="AM29" s="108" t="s">
        <v>307</v>
      </c>
      <c r="AN29" s="71">
        <v>0.1</v>
      </c>
      <c r="AO29" s="37" t="s">
        <v>366</v>
      </c>
      <c r="AP29" s="138" t="s">
        <v>546</v>
      </c>
      <c r="AQ29" s="45" t="s">
        <v>368</v>
      </c>
      <c r="AR29" s="60">
        <v>31529577</v>
      </c>
      <c r="AS29" s="46" t="s">
        <v>372</v>
      </c>
      <c r="AT29" s="46" t="s">
        <v>284</v>
      </c>
      <c r="AU29" s="88" t="s">
        <v>404</v>
      </c>
      <c r="AV29" s="46" t="s">
        <v>389</v>
      </c>
      <c r="AW29" s="88">
        <v>0</v>
      </c>
      <c r="AX29" s="46" t="s">
        <v>404</v>
      </c>
      <c r="AY29" s="56" t="s">
        <v>447</v>
      </c>
      <c r="AZ29" s="86">
        <v>44593</v>
      </c>
      <c r="BA29" s="77" t="s">
        <v>527</v>
      </c>
      <c r="BB29" s="77" t="s">
        <v>555</v>
      </c>
    </row>
    <row r="30" spans="1:54" ht="84.65" customHeight="1" x14ac:dyDescent="0.35">
      <c r="A30" s="246"/>
      <c r="B30" s="246"/>
      <c r="C30" s="246"/>
      <c r="D30" s="246"/>
      <c r="E30" s="246"/>
      <c r="F30" s="301"/>
      <c r="G30" s="18" t="s">
        <v>131</v>
      </c>
      <c r="H30" s="17" t="s">
        <v>280</v>
      </c>
      <c r="I30" s="18" t="s">
        <v>57</v>
      </c>
      <c r="J30" s="18" t="s">
        <v>217</v>
      </c>
      <c r="K30" s="18">
        <v>1</v>
      </c>
      <c r="L30" s="25" t="s">
        <v>290</v>
      </c>
      <c r="M30" s="25" t="s">
        <v>299</v>
      </c>
      <c r="N30" s="102" t="s">
        <v>562</v>
      </c>
      <c r="O30" s="138" t="s">
        <v>562</v>
      </c>
      <c r="P30" s="183"/>
      <c r="Q30" s="238"/>
      <c r="R30" s="199">
        <v>1</v>
      </c>
      <c r="S30" s="238"/>
      <c r="T30" s="246"/>
      <c r="U30" s="246"/>
      <c r="V30" s="298"/>
      <c r="W30" s="40" t="s">
        <v>326</v>
      </c>
      <c r="X30" s="38">
        <v>1</v>
      </c>
      <c r="Y30" s="91">
        <v>1</v>
      </c>
      <c r="Z30" s="126">
        <v>1</v>
      </c>
      <c r="AA30" s="178">
        <v>1</v>
      </c>
      <c r="AB30" s="226"/>
      <c r="AC30" s="259"/>
      <c r="AD30" s="262"/>
      <c r="AE30" s="265"/>
      <c r="AF30" s="265"/>
      <c r="AG30" s="265"/>
      <c r="AH30" s="265"/>
      <c r="AI30" s="226"/>
      <c r="AJ30" s="74">
        <v>44593</v>
      </c>
      <c r="AK30" s="64">
        <v>330</v>
      </c>
      <c r="AL30" s="49" t="s">
        <v>307</v>
      </c>
      <c r="AM30" s="102" t="s">
        <v>307</v>
      </c>
      <c r="AN30" s="71">
        <v>0.1</v>
      </c>
      <c r="AO30" s="37" t="s">
        <v>366</v>
      </c>
      <c r="AP30" s="138" t="s">
        <v>546</v>
      </c>
      <c r="AQ30" s="45" t="s">
        <v>368</v>
      </c>
      <c r="AR30" s="60">
        <v>0</v>
      </c>
      <c r="AS30" s="46" t="s">
        <v>372</v>
      </c>
      <c r="AT30" s="46" t="s">
        <v>284</v>
      </c>
      <c r="AU30" s="88" t="s">
        <v>404</v>
      </c>
      <c r="AV30" s="46" t="s">
        <v>389</v>
      </c>
      <c r="AW30" s="147" t="s">
        <v>402</v>
      </c>
      <c r="AX30" s="46" t="s">
        <v>405</v>
      </c>
      <c r="AY30" s="85" t="s">
        <v>402</v>
      </c>
      <c r="AZ30" s="85" t="s">
        <v>402</v>
      </c>
      <c r="BA30" s="77" t="s">
        <v>487</v>
      </c>
      <c r="BB30" s="77" t="s">
        <v>487</v>
      </c>
    </row>
    <row r="31" spans="1:54" ht="115.15" customHeight="1" x14ac:dyDescent="0.35">
      <c r="A31" s="246"/>
      <c r="B31" s="246"/>
      <c r="C31" s="246" t="s">
        <v>132</v>
      </c>
      <c r="D31" s="246" t="s">
        <v>57</v>
      </c>
      <c r="E31" s="246" t="s">
        <v>133</v>
      </c>
      <c r="F31" s="301" t="s">
        <v>134</v>
      </c>
      <c r="G31" s="82" t="s">
        <v>135</v>
      </c>
      <c r="H31" s="82" t="s">
        <v>280</v>
      </c>
      <c r="I31" s="82" t="s">
        <v>136</v>
      </c>
      <c r="J31" s="82" t="s">
        <v>218</v>
      </c>
      <c r="K31" s="82">
        <v>20</v>
      </c>
      <c r="L31" s="82">
        <v>13</v>
      </c>
      <c r="M31" s="82">
        <v>0</v>
      </c>
      <c r="N31" s="89">
        <v>0</v>
      </c>
      <c r="O31" s="125">
        <v>0</v>
      </c>
      <c r="P31" s="183">
        <f>(O31+N31)/L31</f>
        <v>0</v>
      </c>
      <c r="Q31" s="230">
        <f>SUM(P31:P38)/4</f>
        <v>0.25</v>
      </c>
      <c r="R31" s="183">
        <f>(O31+N31+M31)/(K31)</f>
        <v>0</v>
      </c>
      <c r="S31" s="230">
        <f>SUM(R31:R38)/4</f>
        <v>0.3125</v>
      </c>
      <c r="T31" s="246" t="s">
        <v>260</v>
      </c>
      <c r="U31" s="246" t="s">
        <v>261</v>
      </c>
      <c r="V31" s="246" t="s">
        <v>262</v>
      </c>
      <c r="W31" s="39" t="s">
        <v>328</v>
      </c>
      <c r="X31" s="38">
        <v>13</v>
      </c>
      <c r="Y31" s="91">
        <v>0</v>
      </c>
      <c r="Z31" s="126">
        <v>0</v>
      </c>
      <c r="AA31" s="178">
        <f>(Z31+Y31)/(X31)</f>
        <v>0</v>
      </c>
      <c r="AB31" s="224">
        <f>(AA31:AA38)/8</f>
        <v>0</v>
      </c>
      <c r="AC31" s="257" t="s">
        <v>582</v>
      </c>
      <c r="AD31" s="295" t="s">
        <v>597</v>
      </c>
      <c r="AE31" s="263">
        <v>2392957745</v>
      </c>
      <c r="AF31" s="263">
        <v>1217055521.0699999</v>
      </c>
      <c r="AG31" s="263">
        <v>2392957745</v>
      </c>
      <c r="AH31" s="263">
        <v>827724033</v>
      </c>
      <c r="AI31" s="224">
        <f>AH31/AG31</f>
        <v>0.34589997868934375</v>
      </c>
      <c r="AJ31" s="74">
        <v>44562</v>
      </c>
      <c r="AK31" s="64">
        <v>365</v>
      </c>
      <c r="AL31" s="67">
        <v>13</v>
      </c>
      <c r="AM31" s="92">
        <v>0</v>
      </c>
      <c r="AN31" s="71">
        <v>0</v>
      </c>
      <c r="AO31" s="37" t="s">
        <v>366</v>
      </c>
      <c r="AP31" s="46" t="s">
        <v>494</v>
      </c>
      <c r="AQ31" s="45" t="s">
        <v>368</v>
      </c>
      <c r="AR31" s="60">
        <v>0</v>
      </c>
      <c r="AS31" s="46" t="s">
        <v>372</v>
      </c>
      <c r="AT31" s="46" t="s">
        <v>390</v>
      </c>
      <c r="AU31" s="88" t="s">
        <v>404</v>
      </c>
      <c r="AV31" s="46" t="s">
        <v>391</v>
      </c>
      <c r="AW31" s="88" t="s">
        <v>402</v>
      </c>
      <c r="AX31" s="46" t="s">
        <v>405</v>
      </c>
      <c r="AY31" s="85" t="s">
        <v>402</v>
      </c>
      <c r="AZ31" s="85" t="s">
        <v>402</v>
      </c>
      <c r="BA31" s="112" t="s">
        <v>491</v>
      </c>
      <c r="BB31" s="133" t="s">
        <v>556</v>
      </c>
    </row>
    <row r="32" spans="1:54" ht="94.15" customHeight="1" x14ac:dyDescent="0.35">
      <c r="A32" s="246"/>
      <c r="B32" s="246"/>
      <c r="C32" s="246"/>
      <c r="D32" s="246"/>
      <c r="E32" s="246"/>
      <c r="F32" s="301"/>
      <c r="G32" s="81" t="s">
        <v>465</v>
      </c>
      <c r="H32" s="82" t="s">
        <v>280</v>
      </c>
      <c r="I32" s="81" t="s">
        <v>466</v>
      </c>
      <c r="J32" s="217" t="s">
        <v>467</v>
      </c>
      <c r="K32" s="81">
        <v>1</v>
      </c>
      <c r="L32" s="81" t="s">
        <v>468</v>
      </c>
      <c r="M32" s="81" t="s">
        <v>468</v>
      </c>
      <c r="N32" s="100" t="s">
        <v>468</v>
      </c>
      <c r="O32" s="136" t="s">
        <v>468</v>
      </c>
      <c r="P32" s="218">
        <v>0</v>
      </c>
      <c r="Q32" s="231"/>
      <c r="R32" s="218">
        <v>0</v>
      </c>
      <c r="S32" s="231"/>
      <c r="T32" s="246"/>
      <c r="U32" s="246"/>
      <c r="V32" s="246"/>
      <c r="W32" s="148" t="s">
        <v>327</v>
      </c>
      <c r="X32" s="38">
        <v>1</v>
      </c>
      <c r="Y32" s="91">
        <v>1</v>
      </c>
      <c r="Z32" s="126">
        <v>0</v>
      </c>
      <c r="AA32" s="178">
        <f t="shared" ref="AA32:AA46" si="4">(Z32+Y32)/(X32)</f>
        <v>1</v>
      </c>
      <c r="AB32" s="225"/>
      <c r="AC32" s="258"/>
      <c r="AD32" s="296"/>
      <c r="AE32" s="264"/>
      <c r="AF32" s="264"/>
      <c r="AG32" s="264"/>
      <c r="AH32" s="264"/>
      <c r="AI32" s="225"/>
      <c r="AJ32" s="74">
        <v>44562</v>
      </c>
      <c r="AK32" s="64">
        <v>365</v>
      </c>
      <c r="AL32" s="52" t="s">
        <v>353</v>
      </c>
      <c r="AM32" s="150">
        <v>213</v>
      </c>
      <c r="AN32" s="71">
        <v>0.1</v>
      </c>
      <c r="AO32" s="37" t="s">
        <v>366</v>
      </c>
      <c r="AP32" s="101" t="s">
        <v>494</v>
      </c>
      <c r="AQ32" s="45" t="s">
        <v>368</v>
      </c>
      <c r="AR32" s="60">
        <v>550000000</v>
      </c>
      <c r="AS32" s="46" t="s">
        <v>372</v>
      </c>
      <c r="AT32" s="46" t="s">
        <v>390</v>
      </c>
      <c r="AU32" s="88" t="s">
        <v>404</v>
      </c>
      <c r="AV32" s="46" t="s">
        <v>391</v>
      </c>
      <c r="AW32" s="113">
        <v>226794535</v>
      </c>
      <c r="AX32" s="46" t="s">
        <v>404</v>
      </c>
      <c r="AY32" s="56" t="s">
        <v>446</v>
      </c>
      <c r="AZ32" s="86">
        <v>44593</v>
      </c>
      <c r="BA32" s="112" t="s">
        <v>490</v>
      </c>
      <c r="BB32" s="143" t="s">
        <v>528</v>
      </c>
    </row>
    <row r="33" spans="1:54" ht="130.5" x14ac:dyDescent="0.35">
      <c r="A33" s="246"/>
      <c r="B33" s="246"/>
      <c r="C33" s="246"/>
      <c r="D33" s="246"/>
      <c r="E33" s="246"/>
      <c r="F33" s="301"/>
      <c r="G33" s="246" t="s">
        <v>137</v>
      </c>
      <c r="H33" s="246" t="s">
        <v>280</v>
      </c>
      <c r="I33" s="246" t="s">
        <v>138</v>
      </c>
      <c r="J33" s="246" t="s">
        <v>219</v>
      </c>
      <c r="K33" s="246">
        <v>150</v>
      </c>
      <c r="L33" s="246">
        <v>37</v>
      </c>
      <c r="M33" s="246">
        <f>180+313</f>
        <v>493</v>
      </c>
      <c r="N33" s="246">
        <v>82</v>
      </c>
      <c r="O33" s="246">
        <v>86</v>
      </c>
      <c r="P33" s="230">
        <v>1</v>
      </c>
      <c r="Q33" s="231"/>
      <c r="R33" s="247">
        <v>1</v>
      </c>
      <c r="S33" s="231"/>
      <c r="T33" s="246"/>
      <c r="U33" s="246"/>
      <c r="V33" s="246" t="s">
        <v>263</v>
      </c>
      <c r="W33" s="109" t="s">
        <v>329</v>
      </c>
      <c r="X33" s="38">
        <v>37</v>
      </c>
      <c r="Y33" s="91">
        <v>82</v>
      </c>
      <c r="Z33" s="126">
        <v>86</v>
      </c>
      <c r="AA33" s="178">
        <v>1</v>
      </c>
      <c r="AB33" s="225"/>
      <c r="AC33" s="258"/>
      <c r="AD33" s="296"/>
      <c r="AE33" s="264"/>
      <c r="AF33" s="264"/>
      <c r="AG33" s="264"/>
      <c r="AH33" s="264"/>
      <c r="AI33" s="225"/>
      <c r="AJ33" s="74">
        <v>44562</v>
      </c>
      <c r="AK33" s="64">
        <v>365</v>
      </c>
      <c r="AL33" s="67">
        <v>37</v>
      </c>
      <c r="AM33" s="92">
        <f>82+86</f>
        <v>168</v>
      </c>
      <c r="AN33" s="70">
        <v>0.05</v>
      </c>
      <c r="AO33" s="37" t="s">
        <v>366</v>
      </c>
      <c r="AP33" s="101" t="s">
        <v>494</v>
      </c>
      <c r="AQ33" s="45" t="s">
        <v>368</v>
      </c>
      <c r="AR33" s="156" t="s">
        <v>495</v>
      </c>
      <c r="AS33" s="46" t="s">
        <v>372</v>
      </c>
      <c r="AT33" s="46" t="s">
        <v>390</v>
      </c>
      <c r="AU33" s="88" t="s">
        <v>404</v>
      </c>
      <c r="AV33" s="46" t="s">
        <v>391</v>
      </c>
      <c r="AW33" s="88" t="s">
        <v>495</v>
      </c>
      <c r="AX33" s="46" t="s">
        <v>405</v>
      </c>
      <c r="AY33" s="85" t="s">
        <v>402</v>
      </c>
      <c r="AZ33" s="85" t="s">
        <v>402</v>
      </c>
      <c r="BA33" s="116" t="s">
        <v>512</v>
      </c>
      <c r="BB33" s="133" t="s">
        <v>529</v>
      </c>
    </row>
    <row r="34" spans="1:54" ht="101.5" x14ac:dyDescent="0.35">
      <c r="A34" s="246"/>
      <c r="B34" s="246"/>
      <c r="C34" s="246"/>
      <c r="D34" s="246"/>
      <c r="E34" s="246"/>
      <c r="F34" s="301"/>
      <c r="G34" s="246"/>
      <c r="H34" s="246"/>
      <c r="I34" s="246"/>
      <c r="J34" s="246"/>
      <c r="K34" s="246"/>
      <c r="L34" s="246"/>
      <c r="M34" s="246"/>
      <c r="N34" s="246"/>
      <c r="O34" s="246"/>
      <c r="P34" s="231"/>
      <c r="Q34" s="231"/>
      <c r="R34" s="248"/>
      <c r="S34" s="231"/>
      <c r="T34" s="246"/>
      <c r="U34" s="246"/>
      <c r="V34" s="246"/>
      <c r="W34" s="41" t="s">
        <v>332</v>
      </c>
      <c r="X34" s="38">
        <v>2</v>
      </c>
      <c r="Y34" s="91">
        <v>0</v>
      </c>
      <c r="Z34" s="126">
        <v>0</v>
      </c>
      <c r="AA34" s="178">
        <f t="shared" si="4"/>
        <v>0</v>
      </c>
      <c r="AB34" s="225"/>
      <c r="AC34" s="258"/>
      <c r="AD34" s="296"/>
      <c r="AE34" s="264"/>
      <c r="AF34" s="264"/>
      <c r="AG34" s="264"/>
      <c r="AH34" s="264"/>
      <c r="AI34" s="225"/>
      <c r="AJ34" s="74">
        <v>44562</v>
      </c>
      <c r="AK34" s="64">
        <v>365</v>
      </c>
      <c r="AL34" s="52" t="s">
        <v>352</v>
      </c>
      <c r="AM34" s="105">
        <v>0</v>
      </c>
      <c r="AN34" s="70">
        <v>0.05</v>
      </c>
      <c r="AO34" s="37" t="s">
        <v>366</v>
      </c>
      <c r="AP34" s="101" t="s">
        <v>494</v>
      </c>
      <c r="AQ34" s="45" t="s">
        <v>368</v>
      </c>
      <c r="AR34" s="60">
        <v>10000000</v>
      </c>
      <c r="AS34" s="46" t="s">
        <v>372</v>
      </c>
      <c r="AT34" s="46" t="s">
        <v>390</v>
      </c>
      <c r="AU34" s="88" t="s">
        <v>404</v>
      </c>
      <c r="AV34" s="46" t="s">
        <v>391</v>
      </c>
      <c r="AW34" s="88">
        <v>0</v>
      </c>
      <c r="AX34" s="46" t="s">
        <v>404</v>
      </c>
      <c r="AY34" s="56" t="s">
        <v>447</v>
      </c>
      <c r="AZ34" s="86">
        <v>44593</v>
      </c>
      <c r="BA34" s="47"/>
      <c r="BB34" s="47" t="s">
        <v>565</v>
      </c>
    </row>
    <row r="35" spans="1:54" ht="101.5" x14ac:dyDescent="0.35">
      <c r="A35" s="246"/>
      <c r="B35" s="246"/>
      <c r="C35" s="246"/>
      <c r="D35" s="246"/>
      <c r="E35" s="246"/>
      <c r="F35" s="301"/>
      <c r="G35" s="246"/>
      <c r="H35" s="246"/>
      <c r="I35" s="246"/>
      <c r="J35" s="246"/>
      <c r="K35" s="246"/>
      <c r="L35" s="246"/>
      <c r="M35" s="246"/>
      <c r="N35" s="246"/>
      <c r="O35" s="246"/>
      <c r="P35" s="231"/>
      <c r="Q35" s="231"/>
      <c r="R35" s="248"/>
      <c r="S35" s="231"/>
      <c r="T35" s="246"/>
      <c r="U35" s="246"/>
      <c r="V35" s="246"/>
      <c r="W35" s="41" t="s">
        <v>333</v>
      </c>
      <c r="X35" s="38">
        <v>2</v>
      </c>
      <c r="Y35" s="91">
        <v>2</v>
      </c>
      <c r="Z35" s="126">
        <v>0</v>
      </c>
      <c r="AA35" s="178">
        <f t="shared" si="4"/>
        <v>1</v>
      </c>
      <c r="AB35" s="225"/>
      <c r="AC35" s="258"/>
      <c r="AD35" s="296"/>
      <c r="AE35" s="264"/>
      <c r="AF35" s="264"/>
      <c r="AG35" s="264"/>
      <c r="AH35" s="264"/>
      <c r="AI35" s="225"/>
      <c r="AJ35" s="74">
        <v>44562</v>
      </c>
      <c r="AK35" s="64">
        <v>365</v>
      </c>
      <c r="AL35" s="52" t="s">
        <v>352</v>
      </c>
      <c r="AM35" s="118">
        <v>82</v>
      </c>
      <c r="AN35" s="70">
        <v>0.05</v>
      </c>
      <c r="AO35" s="37" t="s">
        <v>366</v>
      </c>
      <c r="AP35" s="101" t="s">
        <v>494</v>
      </c>
      <c r="AQ35" s="45" t="s">
        <v>368</v>
      </c>
      <c r="AR35" s="60">
        <v>160000000</v>
      </c>
      <c r="AS35" s="46" t="s">
        <v>372</v>
      </c>
      <c r="AT35" s="46" t="s">
        <v>390</v>
      </c>
      <c r="AU35" s="88" t="s">
        <v>404</v>
      </c>
      <c r="AV35" s="46" t="s">
        <v>391</v>
      </c>
      <c r="AW35" s="113">
        <v>151808148</v>
      </c>
      <c r="AX35" s="46" t="s">
        <v>404</v>
      </c>
      <c r="AY35" s="56" t="s">
        <v>474</v>
      </c>
      <c r="AZ35" s="86">
        <v>44593</v>
      </c>
      <c r="BA35" s="112" t="s">
        <v>492</v>
      </c>
      <c r="BB35" s="143" t="s">
        <v>528</v>
      </c>
    </row>
    <row r="36" spans="1:54" ht="100.9" customHeight="1" x14ac:dyDescent="0.35">
      <c r="A36" s="246"/>
      <c r="B36" s="246"/>
      <c r="C36" s="246"/>
      <c r="D36" s="246"/>
      <c r="E36" s="246"/>
      <c r="F36" s="301"/>
      <c r="G36" s="246"/>
      <c r="H36" s="246"/>
      <c r="I36" s="246"/>
      <c r="J36" s="246"/>
      <c r="K36" s="246"/>
      <c r="L36" s="246"/>
      <c r="M36" s="246"/>
      <c r="N36" s="246"/>
      <c r="O36" s="246"/>
      <c r="P36" s="231"/>
      <c r="Q36" s="231"/>
      <c r="R36" s="248"/>
      <c r="S36" s="231"/>
      <c r="T36" s="246"/>
      <c r="U36" s="246"/>
      <c r="V36" s="246"/>
      <c r="W36" s="39" t="s">
        <v>401</v>
      </c>
      <c r="X36" s="38">
        <v>3</v>
      </c>
      <c r="Y36" s="91">
        <v>0</v>
      </c>
      <c r="Z36" s="126">
        <v>1</v>
      </c>
      <c r="AA36" s="178">
        <f t="shared" si="4"/>
        <v>0.33333333333333331</v>
      </c>
      <c r="AB36" s="225"/>
      <c r="AC36" s="258"/>
      <c r="AD36" s="296"/>
      <c r="AE36" s="264"/>
      <c r="AF36" s="264"/>
      <c r="AG36" s="264"/>
      <c r="AH36" s="264"/>
      <c r="AI36" s="225"/>
      <c r="AJ36" s="74">
        <v>44562</v>
      </c>
      <c r="AK36" s="64">
        <v>365</v>
      </c>
      <c r="AL36" s="52" t="s">
        <v>352</v>
      </c>
      <c r="AM36" s="118">
        <v>82</v>
      </c>
      <c r="AN36" s="70">
        <v>0.05</v>
      </c>
      <c r="AO36" s="37" t="s">
        <v>366</v>
      </c>
      <c r="AP36" s="101" t="s">
        <v>494</v>
      </c>
      <c r="AQ36" s="45" t="s">
        <v>368</v>
      </c>
      <c r="AR36" s="60">
        <v>191157745</v>
      </c>
      <c r="AS36" s="46" t="s">
        <v>372</v>
      </c>
      <c r="AT36" s="46" t="s">
        <v>390</v>
      </c>
      <c r="AU36" s="88" t="s">
        <v>404</v>
      </c>
      <c r="AV36" s="46" t="s">
        <v>391</v>
      </c>
      <c r="AW36" s="88">
        <v>0</v>
      </c>
      <c r="AX36" s="46" t="s">
        <v>404</v>
      </c>
      <c r="AY36" s="56" t="s">
        <v>447</v>
      </c>
      <c r="AZ36" s="86">
        <v>44593</v>
      </c>
      <c r="BA36" s="143" t="s">
        <v>493</v>
      </c>
      <c r="BB36" s="133" t="s">
        <v>530</v>
      </c>
    </row>
    <row r="37" spans="1:54" ht="106.9" customHeight="1" x14ac:dyDescent="0.35">
      <c r="A37" s="246"/>
      <c r="B37" s="246"/>
      <c r="C37" s="246"/>
      <c r="D37" s="246"/>
      <c r="E37" s="246"/>
      <c r="F37" s="301"/>
      <c r="G37" s="246"/>
      <c r="H37" s="246"/>
      <c r="I37" s="246"/>
      <c r="J37" s="246"/>
      <c r="K37" s="246"/>
      <c r="L37" s="246"/>
      <c r="M37" s="246"/>
      <c r="N37" s="246"/>
      <c r="O37" s="246"/>
      <c r="P37" s="232"/>
      <c r="Q37" s="231"/>
      <c r="R37" s="249"/>
      <c r="S37" s="231"/>
      <c r="T37" s="246"/>
      <c r="U37" s="246"/>
      <c r="V37" s="246"/>
      <c r="W37" s="148" t="s">
        <v>331</v>
      </c>
      <c r="X37" s="38">
        <v>14</v>
      </c>
      <c r="Y37" s="91">
        <v>14</v>
      </c>
      <c r="Z37" s="126">
        <v>0</v>
      </c>
      <c r="AA37" s="178">
        <f t="shared" si="4"/>
        <v>1</v>
      </c>
      <c r="AB37" s="225"/>
      <c r="AC37" s="258"/>
      <c r="AD37" s="296"/>
      <c r="AE37" s="264"/>
      <c r="AF37" s="264"/>
      <c r="AG37" s="264"/>
      <c r="AH37" s="264"/>
      <c r="AI37" s="225"/>
      <c r="AJ37" s="74">
        <v>44562</v>
      </c>
      <c r="AK37" s="64">
        <v>365</v>
      </c>
      <c r="AL37" s="52" t="s">
        <v>352</v>
      </c>
      <c r="AM37" s="118">
        <v>82</v>
      </c>
      <c r="AN37" s="69">
        <v>0.3</v>
      </c>
      <c r="AO37" s="37" t="s">
        <v>366</v>
      </c>
      <c r="AP37" s="101" t="s">
        <v>494</v>
      </c>
      <c r="AQ37" s="45" t="s">
        <v>368</v>
      </c>
      <c r="AR37" s="60">
        <v>481800000</v>
      </c>
      <c r="AS37" s="46" t="s">
        <v>372</v>
      </c>
      <c r="AT37" s="46" t="s">
        <v>390</v>
      </c>
      <c r="AU37" s="88" t="s">
        <v>404</v>
      </c>
      <c r="AV37" s="46" t="s">
        <v>391</v>
      </c>
      <c r="AW37" s="113">
        <v>446000000</v>
      </c>
      <c r="AX37" s="46" t="s">
        <v>404</v>
      </c>
      <c r="AY37" s="56" t="s">
        <v>446</v>
      </c>
      <c r="AZ37" s="86">
        <v>44562</v>
      </c>
      <c r="BA37" s="116" t="s">
        <v>497</v>
      </c>
      <c r="BB37" s="143" t="s">
        <v>528</v>
      </c>
    </row>
    <row r="38" spans="1:54" ht="174" x14ac:dyDescent="0.35">
      <c r="A38" s="246"/>
      <c r="B38" s="246"/>
      <c r="C38" s="246"/>
      <c r="D38" s="246"/>
      <c r="E38" s="246"/>
      <c r="F38" s="301"/>
      <c r="G38" s="18" t="s">
        <v>139</v>
      </c>
      <c r="H38" s="17" t="s">
        <v>280</v>
      </c>
      <c r="I38" s="18" t="s">
        <v>140</v>
      </c>
      <c r="J38" s="18" t="s">
        <v>220</v>
      </c>
      <c r="K38" s="18">
        <v>4</v>
      </c>
      <c r="L38" s="25">
        <v>1</v>
      </c>
      <c r="M38" s="25">
        <v>1</v>
      </c>
      <c r="N38" s="89">
        <v>0</v>
      </c>
      <c r="O38" s="125">
        <v>0</v>
      </c>
      <c r="P38" s="183">
        <f>(O38+N38)/(L38)</f>
        <v>0</v>
      </c>
      <c r="Q38" s="232"/>
      <c r="R38" s="183">
        <f>(O38+N38+M38)/(K38)</f>
        <v>0.25</v>
      </c>
      <c r="S38" s="232"/>
      <c r="T38" s="246"/>
      <c r="U38" s="246"/>
      <c r="V38" s="18" t="s">
        <v>264</v>
      </c>
      <c r="W38" s="39" t="s">
        <v>330</v>
      </c>
      <c r="X38" s="38">
        <v>1</v>
      </c>
      <c r="Y38" s="91">
        <v>0</v>
      </c>
      <c r="Z38" s="126">
        <v>0</v>
      </c>
      <c r="AA38" s="178">
        <f t="shared" si="4"/>
        <v>0</v>
      </c>
      <c r="AB38" s="226"/>
      <c r="AC38" s="259"/>
      <c r="AD38" s="297"/>
      <c r="AE38" s="265"/>
      <c r="AF38" s="265"/>
      <c r="AG38" s="265"/>
      <c r="AH38" s="265"/>
      <c r="AI38" s="226"/>
      <c r="AJ38" s="74">
        <v>44713</v>
      </c>
      <c r="AK38" s="64">
        <v>210</v>
      </c>
      <c r="AL38" s="49" t="s">
        <v>354</v>
      </c>
      <c r="AM38" s="89">
        <v>0</v>
      </c>
      <c r="AN38" s="69">
        <v>0.4</v>
      </c>
      <c r="AO38" s="37" t="s">
        <v>366</v>
      </c>
      <c r="AP38" s="101" t="s">
        <v>494</v>
      </c>
      <c r="AQ38" s="45" t="s">
        <v>368</v>
      </c>
      <c r="AR38" s="60">
        <v>1000000000</v>
      </c>
      <c r="AS38" s="46" t="s">
        <v>372</v>
      </c>
      <c r="AT38" s="46" t="s">
        <v>390</v>
      </c>
      <c r="AU38" s="88" t="s">
        <v>404</v>
      </c>
      <c r="AV38" s="46" t="s">
        <v>391</v>
      </c>
      <c r="AW38" s="88">
        <v>0</v>
      </c>
      <c r="AX38" s="46" t="s">
        <v>404</v>
      </c>
      <c r="AY38" s="56" t="s">
        <v>446</v>
      </c>
      <c r="AZ38" s="86">
        <v>44713</v>
      </c>
      <c r="BA38" s="112" t="s">
        <v>496</v>
      </c>
      <c r="BB38" s="133" t="s">
        <v>531</v>
      </c>
    </row>
    <row r="39" spans="1:54" ht="165" customHeight="1" x14ac:dyDescent="0.35">
      <c r="A39" s="246"/>
      <c r="B39" s="246" t="s">
        <v>141</v>
      </c>
      <c r="C39" s="18" t="s">
        <v>142</v>
      </c>
      <c r="D39" s="18" t="s">
        <v>143</v>
      </c>
      <c r="E39" s="18" t="s">
        <v>144</v>
      </c>
      <c r="F39" s="301" t="s">
        <v>145</v>
      </c>
      <c r="G39" s="18" t="s">
        <v>146</v>
      </c>
      <c r="H39" s="17" t="s">
        <v>280</v>
      </c>
      <c r="I39" s="18" t="s">
        <v>147</v>
      </c>
      <c r="J39" s="18" t="s">
        <v>221</v>
      </c>
      <c r="K39" s="18">
        <v>8</v>
      </c>
      <c r="L39" s="25">
        <v>1</v>
      </c>
      <c r="M39" s="25">
        <v>2</v>
      </c>
      <c r="N39" s="89">
        <v>1</v>
      </c>
      <c r="O39" s="125">
        <v>0</v>
      </c>
      <c r="P39" s="183">
        <f>(O39+N39)/(L39)</f>
        <v>1</v>
      </c>
      <c r="Q39" s="236">
        <f>SUM(P39:P43)/4</f>
        <v>0.59602368866328248</v>
      </c>
      <c r="R39" s="198">
        <f t="shared" ref="R39:R46" si="5">(O39+N39+M39)/(K39)</f>
        <v>0.375</v>
      </c>
      <c r="S39" s="236">
        <f>SUM(R39:R43)/5</f>
        <v>0.55501364256480223</v>
      </c>
      <c r="T39" s="246" t="s">
        <v>265</v>
      </c>
      <c r="U39" s="246" t="s">
        <v>266</v>
      </c>
      <c r="V39" s="18" t="s">
        <v>267</v>
      </c>
      <c r="W39" s="40" t="s">
        <v>334</v>
      </c>
      <c r="X39" s="38">
        <v>1</v>
      </c>
      <c r="Y39" s="104">
        <v>1</v>
      </c>
      <c r="Z39" s="126">
        <v>0</v>
      </c>
      <c r="AA39" s="178">
        <f t="shared" si="4"/>
        <v>1</v>
      </c>
      <c r="AB39" s="224">
        <f>SUM(AA39:AA43)/5</f>
        <v>0.67681895093062594</v>
      </c>
      <c r="AC39" s="257" t="s">
        <v>582</v>
      </c>
      <c r="AD39" s="295" t="s">
        <v>598</v>
      </c>
      <c r="AE39" s="263">
        <v>670028169</v>
      </c>
      <c r="AF39" s="263">
        <v>331498270</v>
      </c>
      <c r="AG39" s="263">
        <v>670028169</v>
      </c>
      <c r="AH39" s="263">
        <v>331498270</v>
      </c>
      <c r="AI39" s="224">
        <f>AH39/AG39</f>
        <v>0.49475273628383826</v>
      </c>
      <c r="AJ39" s="74">
        <v>44562</v>
      </c>
      <c r="AK39" s="64">
        <v>365</v>
      </c>
      <c r="AL39" s="49" t="s">
        <v>355</v>
      </c>
      <c r="AM39" s="146" t="s">
        <v>576</v>
      </c>
      <c r="AN39" s="69">
        <v>0.2</v>
      </c>
      <c r="AO39" s="37" t="s">
        <v>366</v>
      </c>
      <c r="AP39" s="138" t="s">
        <v>546</v>
      </c>
      <c r="AQ39" s="45" t="s">
        <v>368</v>
      </c>
      <c r="AR39" s="63">
        <v>200027100</v>
      </c>
      <c r="AS39" s="46" t="s">
        <v>372</v>
      </c>
      <c r="AT39" s="46" t="s">
        <v>392</v>
      </c>
      <c r="AU39" s="88" t="s">
        <v>404</v>
      </c>
      <c r="AV39" s="46" t="s">
        <v>393</v>
      </c>
      <c r="AW39" s="88">
        <v>0</v>
      </c>
      <c r="AX39" s="46" t="s">
        <v>404</v>
      </c>
      <c r="AY39" s="56" t="s">
        <v>450</v>
      </c>
      <c r="AZ39" s="86">
        <v>44621</v>
      </c>
      <c r="BA39" s="116" t="s">
        <v>500</v>
      </c>
      <c r="BB39" s="133" t="s">
        <v>557</v>
      </c>
    </row>
    <row r="40" spans="1:54" ht="87" x14ac:dyDescent="0.35">
      <c r="A40" s="246"/>
      <c r="B40" s="246"/>
      <c r="C40" s="18" t="s">
        <v>148</v>
      </c>
      <c r="D40" s="18" t="s">
        <v>149</v>
      </c>
      <c r="E40" s="18" t="s">
        <v>150</v>
      </c>
      <c r="F40" s="301"/>
      <c r="G40" s="18" t="s">
        <v>151</v>
      </c>
      <c r="H40" s="17" t="s">
        <v>280</v>
      </c>
      <c r="I40" s="18" t="s">
        <v>152</v>
      </c>
      <c r="J40" s="18" t="s">
        <v>222</v>
      </c>
      <c r="K40" s="18">
        <v>8</v>
      </c>
      <c r="L40" s="25">
        <v>3</v>
      </c>
      <c r="M40" s="25">
        <v>3</v>
      </c>
      <c r="N40" s="89">
        <v>0</v>
      </c>
      <c r="O40" s="125">
        <v>1</v>
      </c>
      <c r="P40" s="183">
        <f t="shared" ref="P40:P46" si="6">(O40+N40)/(L40)</f>
        <v>0.33333333333333331</v>
      </c>
      <c r="Q40" s="237"/>
      <c r="R40" s="211">
        <v>0.5</v>
      </c>
      <c r="S40" s="237"/>
      <c r="T40" s="246"/>
      <c r="U40" s="246"/>
      <c r="V40" s="246" t="s">
        <v>268</v>
      </c>
      <c r="W40" s="39" t="s">
        <v>335</v>
      </c>
      <c r="X40" s="38">
        <v>3</v>
      </c>
      <c r="Y40" s="104">
        <v>0</v>
      </c>
      <c r="Z40" s="126">
        <v>1</v>
      </c>
      <c r="AA40" s="178">
        <f t="shared" si="4"/>
        <v>0.33333333333333331</v>
      </c>
      <c r="AB40" s="225"/>
      <c r="AC40" s="258"/>
      <c r="AD40" s="296"/>
      <c r="AE40" s="264"/>
      <c r="AF40" s="264"/>
      <c r="AG40" s="264"/>
      <c r="AH40" s="264"/>
      <c r="AI40" s="225"/>
      <c r="AJ40" s="74">
        <v>44593</v>
      </c>
      <c r="AK40" s="64">
        <v>330</v>
      </c>
      <c r="AL40" s="67">
        <v>300</v>
      </c>
      <c r="AM40" s="132">
        <v>150</v>
      </c>
      <c r="AN40" s="69">
        <v>0.2</v>
      </c>
      <c r="AO40" s="37" t="s">
        <v>366</v>
      </c>
      <c r="AP40" s="138" t="s">
        <v>546</v>
      </c>
      <c r="AQ40" s="45" t="s">
        <v>368</v>
      </c>
      <c r="AR40" s="63">
        <v>71244285</v>
      </c>
      <c r="AS40" s="46" t="s">
        <v>372</v>
      </c>
      <c r="AT40" s="46" t="s">
        <v>392</v>
      </c>
      <c r="AU40" s="88" t="s">
        <v>404</v>
      </c>
      <c r="AV40" s="46" t="s">
        <v>393</v>
      </c>
      <c r="AW40" s="63">
        <v>23896370</v>
      </c>
      <c r="AX40" s="46" t="s">
        <v>404</v>
      </c>
      <c r="AY40" s="56" t="s">
        <v>447</v>
      </c>
      <c r="AZ40" s="86">
        <v>44593</v>
      </c>
      <c r="BA40" s="112" t="s">
        <v>498</v>
      </c>
      <c r="BB40" s="133" t="s">
        <v>532</v>
      </c>
    </row>
    <row r="41" spans="1:54" ht="116" x14ac:dyDescent="0.35">
      <c r="A41" s="246"/>
      <c r="B41" s="246"/>
      <c r="C41" s="246" t="s">
        <v>153</v>
      </c>
      <c r="D41" s="246" t="s">
        <v>154</v>
      </c>
      <c r="E41" s="246" t="s">
        <v>155</v>
      </c>
      <c r="F41" s="301"/>
      <c r="G41" s="18" t="s">
        <v>156</v>
      </c>
      <c r="H41" s="17" t="s">
        <v>280</v>
      </c>
      <c r="I41" s="18" t="s">
        <v>157</v>
      </c>
      <c r="J41" s="18" t="s">
        <v>223</v>
      </c>
      <c r="K41" s="18">
        <v>24</v>
      </c>
      <c r="L41" s="25">
        <v>24</v>
      </c>
      <c r="M41" s="25">
        <v>24</v>
      </c>
      <c r="N41" s="89">
        <v>0</v>
      </c>
      <c r="O41" s="125">
        <v>24</v>
      </c>
      <c r="P41" s="183">
        <f t="shared" si="6"/>
        <v>1</v>
      </c>
      <c r="Q41" s="237"/>
      <c r="R41" s="211">
        <v>0.75</v>
      </c>
      <c r="S41" s="237"/>
      <c r="T41" s="246"/>
      <c r="U41" s="246"/>
      <c r="V41" s="246"/>
      <c r="W41" s="39" t="s">
        <v>336</v>
      </c>
      <c r="X41" s="38">
        <v>24</v>
      </c>
      <c r="Y41" s="104">
        <v>0</v>
      </c>
      <c r="Z41" s="126">
        <v>24</v>
      </c>
      <c r="AA41" s="178">
        <f t="shared" si="4"/>
        <v>1</v>
      </c>
      <c r="AB41" s="225"/>
      <c r="AC41" s="258"/>
      <c r="AD41" s="296"/>
      <c r="AE41" s="264"/>
      <c r="AF41" s="264"/>
      <c r="AG41" s="264"/>
      <c r="AH41" s="264"/>
      <c r="AI41" s="225"/>
      <c r="AJ41" s="74">
        <v>44562</v>
      </c>
      <c r="AK41" s="64">
        <v>365</v>
      </c>
      <c r="AL41" s="67">
        <v>24</v>
      </c>
      <c r="AM41" s="105">
        <v>24</v>
      </c>
      <c r="AN41" s="72">
        <v>0.2</v>
      </c>
      <c r="AO41" s="37" t="s">
        <v>366</v>
      </c>
      <c r="AP41" s="138" t="s">
        <v>546</v>
      </c>
      <c r="AQ41" s="45" t="s">
        <v>368</v>
      </c>
      <c r="AR41" s="63">
        <v>179856784</v>
      </c>
      <c r="AS41" s="46" t="s">
        <v>372</v>
      </c>
      <c r="AT41" s="46" t="s">
        <v>392</v>
      </c>
      <c r="AU41" s="88" t="s">
        <v>404</v>
      </c>
      <c r="AV41" s="46" t="s">
        <v>393</v>
      </c>
      <c r="AW41" s="63">
        <f>21502000+77299900</f>
        <v>98801900</v>
      </c>
      <c r="AX41" s="46" t="s">
        <v>405</v>
      </c>
      <c r="AY41" s="56" t="s">
        <v>451</v>
      </c>
      <c r="AZ41" s="86">
        <v>44593</v>
      </c>
      <c r="BA41" s="112" t="s">
        <v>499</v>
      </c>
      <c r="BB41" s="133" t="s">
        <v>558</v>
      </c>
    </row>
    <row r="42" spans="1:54" ht="100.9" customHeight="1" x14ac:dyDescent="0.35">
      <c r="A42" s="246"/>
      <c r="B42" s="246"/>
      <c r="C42" s="246"/>
      <c r="D42" s="246"/>
      <c r="E42" s="246"/>
      <c r="F42" s="301"/>
      <c r="G42" s="18" t="s">
        <v>158</v>
      </c>
      <c r="H42" s="17" t="s">
        <v>280</v>
      </c>
      <c r="I42" s="18" t="s">
        <v>159</v>
      </c>
      <c r="J42" s="18" t="s">
        <v>224</v>
      </c>
      <c r="K42" s="18">
        <v>1</v>
      </c>
      <c r="L42" s="25" t="s">
        <v>290</v>
      </c>
      <c r="M42" s="25" t="s">
        <v>301</v>
      </c>
      <c r="N42" s="102" t="s">
        <v>290</v>
      </c>
      <c r="O42" s="138" t="s">
        <v>290</v>
      </c>
      <c r="P42" s="183"/>
      <c r="Q42" s="237"/>
      <c r="R42" s="211">
        <v>1</v>
      </c>
      <c r="S42" s="237"/>
      <c r="T42" s="246"/>
      <c r="U42" s="246"/>
      <c r="V42" s="246" t="s">
        <v>269</v>
      </c>
      <c r="W42" s="40" t="s">
        <v>337</v>
      </c>
      <c r="X42" s="38">
        <v>1</v>
      </c>
      <c r="Y42" s="104">
        <v>1</v>
      </c>
      <c r="Z42" s="126">
        <v>1</v>
      </c>
      <c r="AA42" s="178">
        <v>1</v>
      </c>
      <c r="AB42" s="225"/>
      <c r="AC42" s="258"/>
      <c r="AD42" s="296"/>
      <c r="AE42" s="264"/>
      <c r="AF42" s="264"/>
      <c r="AG42" s="264"/>
      <c r="AH42" s="264"/>
      <c r="AI42" s="225"/>
      <c r="AJ42" s="74">
        <v>44562</v>
      </c>
      <c r="AK42" s="64">
        <v>365</v>
      </c>
      <c r="AL42" s="49" t="s">
        <v>356</v>
      </c>
      <c r="AM42" s="102" t="s">
        <v>356</v>
      </c>
      <c r="AN42" s="72">
        <v>0.2</v>
      </c>
      <c r="AO42" s="37" t="s">
        <v>366</v>
      </c>
      <c r="AP42" s="138" t="s">
        <v>546</v>
      </c>
      <c r="AQ42" s="45" t="s">
        <v>368</v>
      </c>
      <c r="AR42" s="279">
        <v>218900000</v>
      </c>
      <c r="AS42" s="266" t="s">
        <v>372</v>
      </c>
      <c r="AT42" s="266" t="s">
        <v>392</v>
      </c>
      <c r="AU42" s="266" t="s">
        <v>404</v>
      </c>
      <c r="AV42" s="266" t="s">
        <v>393</v>
      </c>
      <c r="AW42" s="279">
        <v>208800000</v>
      </c>
      <c r="AX42" s="270" t="s">
        <v>404</v>
      </c>
      <c r="AY42" s="270" t="s">
        <v>446</v>
      </c>
      <c r="AZ42" s="269">
        <v>44562</v>
      </c>
      <c r="BA42" s="129" t="s">
        <v>534</v>
      </c>
      <c r="BB42" s="129" t="s">
        <v>536</v>
      </c>
    </row>
    <row r="43" spans="1:54" ht="116" x14ac:dyDescent="0.35">
      <c r="A43" s="246"/>
      <c r="B43" s="246"/>
      <c r="C43" s="18" t="s">
        <v>160</v>
      </c>
      <c r="D43" s="18" t="s">
        <v>161</v>
      </c>
      <c r="E43" s="18" t="s">
        <v>162</v>
      </c>
      <c r="F43" s="301"/>
      <c r="G43" s="18" t="s">
        <v>163</v>
      </c>
      <c r="H43" s="17" t="s">
        <v>280</v>
      </c>
      <c r="I43" s="18" t="s">
        <v>164</v>
      </c>
      <c r="J43" s="18" t="s">
        <v>225</v>
      </c>
      <c r="K43" s="18">
        <v>3665</v>
      </c>
      <c r="L43" s="25">
        <v>1182</v>
      </c>
      <c r="M43" s="25">
        <f>147+343</f>
        <v>490</v>
      </c>
      <c r="N43" s="89">
        <v>51</v>
      </c>
      <c r="O43" s="125">
        <v>9</v>
      </c>
      <c r="P43" s="183">
        <f t="shared" si="6"/>
        <v>5.0761421319796954E-2</v>
      </c>
      <c r="Q43" s="238"/>
      <c r="R43" s="198">
        <f t="shared" si="5"/>
        <v>0.15006821282401092</v>
      </c>
      <c r="S43" s="238"/>
      <c r="T43" s="246"/>
      <c r="U43" s="246"/>
      <c r="V43" s="246"/>
      <c r="W43" s="40" t="s">
        <v>338</v>
      </c>
      <c r="X43" s="38">
        <v>1182</v>
      </c>
      <c r="Y43" s="104">
        <v>51</v>
      </c>
      <c r="Z43" s="126">
        <v>9</v>
      </c>
      <c r="AA43" s="178">
        <f t="shared" si="4"/>
        <v>5.0761421319796954E-2</v>
      </c>
      <c r="AB43" s="226"/>
      <c r="AC43" s="259"/>
      <c r="AD43" s="297"/>
      <c r="AE43" s="265"/>
      <c r="AF43" s="265"/>
      <c r="AG43" s="265"/>
      <c r="AH43" s="265"/>
      <c r="AI43" s="226"/>
      <c r="AJ43" s="74">
        <v>44562</v>
      </c>
      <c r="AK43" s="64">
        <v>365</v>
      </c>
      <c r="AL43" s="67">
        <v>1182</v>
      </c>
      <c r="AM43" s="104">
        <f>51+9</f>
        <v>60</v>
      </c>
      <c r="AN43" s="72">
        <v>0.2</v>
      </c>
      <c r="AO43" s="37" t="s">
        <v>366</v>
      </c>
      <c r="AP43" s="138" t="s">
        <v>546</v>
      </c>
      <c r="AQ43" s="45" t="s">
        <v>368</v>
      </c>
      <c r="AR43" s="281"/>
      <c r="AS43" s="267"/>
      <c r="AT43" s="267" t="s">
        <v>392</v>
      </c>
      <c r="AU43" s="267"/>
      <c r="AV43" s="267" t="s">
        <v>393</v>
      </c>
      <c r="AW43" s="281"/>
      <c r="AX43" s="270" t="s">
        <v>404</v>
      </c>
      <c r="AY43" s="270"/>
      <c r="AZ43" s="270"/>
      <c r="BA43" s="129" t="s">
        <v>535</v>
      </c>
      <c r="BB43" s="133" t="s">
        <v>533</v>
      </c>
    </row>
    <row r="44" spans="1:54" ht="96" customHeight="1" x14ac:dyDescent="0.35">
      <c r="A44" s="246"/>
      <c r="B44" s="246"/>
      <c r="C44" s="246" t="s">
        <v>165</v>
      </c>
      <c r="D44" s="246" t="s">
        <v>165</v>
      </c>
      <c r="E44" s="246" t="s">
        <v>165</v>
      </c>
      <c r="F44" s="300" t="s">
        <v>166</v>
      </c>
      <c r="G44" s="18" t="s">
        <v>167</v>
      </c>
      <c r="H44" s="17" t="s">
        <v>280</v>
      </c>
      <c r="I44" s="18" t="s">
        <v>57</v>
      </c>
      <c r="J44" s="26" t="s">
        <v>226</v>
      </c>
      <c r="K44" s="18">
        <v>12</v>
      </c>
      <c r="L44" s="25">
        <v>4</v>
      </c>
      <c r="M44" s="25">
        <v>4</v>
      </c>
      <c r="N44" s="89">
        <v>0</v>
      </c>
      <c r="O44" s="125">
        <v>1</v>
      </c>
      <c r="P44" s="183">
        <f t="shared" si="6"/>
        <v>0.25</v>
      </c>
      <c r="Q44" s="230">
        <f>SUM(P44:P46)/2</f>
        <v>0.45833333333333331</v>
      </c>
      <c r="R44" s="219">
        <f t="shared" si="5"/>
        <v>0.41666666666666669</v>
      </c>
      <c r="S44" s="230">
        <f>SUM(R44:R46)/2</f>
        <v>0.67500000000000004</v>
      </c>
      <c r="T44" s="246" t="s">
        <v>270</v>
      </c>
      <c r="U44" s="246" t="s">
        <v>271</v>
      </c>
      <c r="V44" s="17" t="s">
        <v>272</v>
      </c>
      <c r="W44" s="40" t="s">
        <v>339</v>
      </c>
      <c r="X44" s="38">
        <v>4</v>
      </c>
      <c r="Y44" s="91">
        <v>0</v>
      </c>
      <c r="Z44" s="126">
        <v>1</v>
      </c>
      <c r="AA44" s="178">
        <f t="shared" si="4"/>
        <v>0.25</v>
      </c>
      <c r="AB44" s="224">
        <f>SUM(AA44:AA46)/3</f>
        <v>0.30555555555555552</v>
      </c>
      <c r="AC44" s="257" t="s">
        <v>582</v>
      </c>
      <c r="AD44" s="295" t="s">
        <v>599</v>
      </c>
      <c r="AE44" s="263">
        <v>95718309</v>
      </c>
      <c r="AF44" s="263">
        <v>91300000</v>
      </c>
      <c r="AG44" s="263">
        <v>95718309</v>
      </c>
      <c r="AH44" s="263">
        <v>91300000</v>
      </c>
      <c r="AI44" s="224">
        <f>AH44/AG44</f>
        <v>0.95384050297002221</v>
      </c>
      <c r="AJ44" s="74">
        <v>44593</v>
      </c>
      <c r="AK44" s="64">
        <v>330</v>
      </c>
      <c r="AL44" s="67">
        <v>400</v>
      </c>
      <c r="AM44" s="92">
        <v>100</v>
      </c>
      <c r="AN44" s="72">
        <v>0.33300000000000002</v>
      </c>
      <c r="AO44" s="37" t="s">
        <v>366</v>
      </c>
      <c r="AP44" s="138" t="s">
        <v>546</v>
      </c>
      <c r="AQ44" s="45" t="s">
        <v>368</v>
      </c>
      <c r="AR44" s="279">
        <v>95718309</v>
      </c>
      <c r="AS44" s="266" t="s">
        <v>372</v>
      </c>
      <c r="AT44" s="266" t="s">
        <v>394</v>
      </c>
      <c r="AU44" s="279" t="s">
        <v>404</v>
      </c>
      <c r="AV44" s="266" t="s">
        <v>395</v>
      </c>
      <c r="AW44" s="279">
        <v>91300000</v>
      </c>
      <c r="AX44" s="270" t="s">
        <v>404</v>
      </c>
      <c r="AY44" s="270" t="s">
        <v>446</v>
      </c>
      <c r="AZ44" s="269">
        <v>44562</v>
      </c>
      <c r="BA44" s="130" t="s">
        <v>537</v>
      </c>
      <c r="BB44" s="130" t="s">
        <v>539</v>
      </c>
    </row>
    <row r="45" spans="1:54" ht="70.5" customHeight="1" x14ac:dyDescent="0.35">
      <c r="A45" s="246"/>
      <c r="B45" s="246"/>
      <c r="C45" s="246"/>
      <c r="D45" s="246"/>
      <c r="E45" s="246"/>
      <c r="F45" s="300"/>
      <c r="G45" s="18" t="s">
        <v>168</v>
      </c>
      <c r="H45" s="17" t="s">
        <v>280</v>
      </c>
      <c r="I45" s="18" t="s">
        <v>57</v>
      </c>
      <c r="J45" s="18" t="s">
        <v>227</v>
      </c>
      <c r="K45" s="18">
        <v>1</v>
      </c>
      <c r="L45" s="25" t="s">
        <v>292</v>
      </c>
      <c r="M45" s="28">
        <v>0</v>
      </c>
      <c r="N45" s="28">
        <v>0</v>
      </c>
      <c r="O45" s="28">
        <v>0</v>
      </c>
      <c r="P45" s="183"/>
      <c r="Q45" s="231"/>
      <c r="R45" s="198"/>
      <c r="S45" s="231"/>
      <c r="T45" s="246"/>
      <c r="U45" s="246"/>
      <c r="V45" s="17" t="s">
        <v>273</v>
      </c>
      <c r="W45" s="42" t="s">
        <v>340</v>
      </c>
      <c r="X45" s="38">
        <v>1</v>
      </c>
      <c r="Y45" s="91">
        <v>0</v>
      </c>
      <c r="Z45" s="126">
        <v>0</v>
      </c>
      <c r="AA45" s="178">
        <f t="shared" si="4"/>
        <v>0</v>
      </c>
      <c r="AB45" s="225"/>
      <c r="AC45" s="258"/>
      <c r="AD45" s="296"/>
      <c r="AE45" s="264"/>
      <c r="AF45" s="264"/>
      <c r="AG45" s="264"/>
      <c r="AH45" s="264"/>
      <c r="AI45" s="225"/>
      <c r="AJ45" s="74">
        <v>44713</v>
      </c>
      <c r="AK45" s="64">
        <v>210</v>
      </c>
      <c r="AL45" s="50" t="s">
        <v>357</v>
      </c>
      <c r="AM45" s="105">
        <v>0</v>
      </c>
      <c r="AN45" s="72">
        <v>0.33300000000000002</v>
      </c>
      <c r="AO45" s="37" t="s">
        <v>366</v>
      </c>
      <c r="AP45" s="138" t="s">
        <v>546</v>
      </c>
      <c r="AQ45" s="45" t="s">
        <v>368</v>
      </c>
      <c r="AR45" s="280"/>
      <c r="AS45" s="282"/>
      <c r="AT45" s="282" t="s">
        <v>394</v>
      </c>
      <c r="AU45" s="280"/>
      <c r="AV45" s="282" t="s">
        <v>395</v>
      </c>
      <c r="AW45" s="280"/>
      <c r="AX45" s="270" t="s">
        <v>404</v>
      </c>
      <c r="AY45" s="270"/>
      <c r="AZ45" s="270"/>
      <c r="BA45" s="131" t="s">
        <v>538</v>
      </c>
      <c r="BB45" s="131" t="s">
        <v>540</v>
      </c>
    </row>
    <row r="46" spans="1:54" ht="101.5" x14ac:dyDescent="0.35">
      <c r="A46" s="246"/>
      <c r="B46" s="246"/>
      <c r="C46" s="246"/>
      <c r="D46" s="246"/>
      <c r="E46" s="246"/>
      <c r="F46" s="300"/>
      <c r="G46" s="18" t="s">
        <v>169</v>
      </c>
      <c r="H46" s="17" t="s">
        <v>280</v>
      </c>
      <c r="I46" s="18" t="s">
        <v>57</v>
      </c>
      <c r="J46" s="18" t="s">
        <v>228</v>
      </c>
      <c r="K46" s="18">
        <v>30</v>
      </c>
      <c r="L46" s="25">
        <v>6</v>
      </c>
      <c r="M46" s="25">
        <v>24</v>
      </c>
      <c r="N46" s="89">
        <v>1</v>
      </c>
      <c r="O46" s="125">
        <v>3</v>
      </c>
      <c r="P46" s="183">
        <f t="shared" si="6"/>
        <v>0.66666666666666663</v>
      </c>
      <c r="Q46" s="232"/>
      <c r="R46" s="198">
        <f t="shared" si="5"/>
        <v>0.93333333333333335</v>
      </c>
      <c r="S46" s="232"/>
      <c r="T46" s="246"/>
      <c r="U46" s="246"/>
      <c r="V46" s="17" t="s">
        <v>272</v>
      </c>
      <c r="W46" s="39" t="s">
        <v>228</v>
      </c>
      <c r="X46" s="38">
        <v>6</v>
      </c>
      <c r="Y46" s="91">
        <v>1</v>
      </c>
      <c r="Z46" s="126">
        <v>3</v>
      </c>
      <c r="AA46" s="178">
        <f t="shared" si="4"/>
        <v>0.66666666666666663</v>
      </c>
      <c r="AB46" s="226"/>
      <c r="AC46" s="259"/>
      <c r="AD46" s="297"/>
      <c r="AE46" s="265"/>
      <c r="AF46" s="265"/>
      <c r="AG46" s="265"/>
      <c r="AH46" s="265"/>
      <c r="AI46" s="226"/>
      <c r="AJ46" s="74">
        <v>44593</v>
      </c>
      <c r="AK46" s="64">
        <v>330</v>
      </c>
      <c r="AL46" s="67">
        <v>600</v>
      </c>
      <c r="AM46" s="92">
        <f>120+242</f>
        <v>362</v>
      </c>
      <c r="AN46" s="72">
        <v>0.33300000000000002</v>
      </c>
      <c r="AO46" s="37" t="s">
        <v>366</v>
      </c>
      <c r="AP46" s="138" t="s">
        <v>546</v>
      </c>
      <c r="AQ46" s="45" t="s">
        <v>368</v>
      </c>
      <c r="AR46" s="281"/>
      <c r="AS46" s="267"/>
      <c r="AT46" s="267" t="s">
        <v>394</v>
      </c>
      <c r="AU46" s="281"/>
      <c r="AV46" s="267" t="s">
        <v>395</v>
      </c>
      <c r="AW46" s="281"/>
      <c r="AX46" s="270" t="s">
        <v>404</v>
      </c>
      <c r="AY46" s="270"/>
      <c r="AZ46" s="270"/>
      <c r="BA46" s="131"/>
      <c r="BB46" s="130" t="s">
        <v>539</v>
      </c>
    </row>
    <row r="47" spans="1:54" ht="87" x14ac:dyDescent="0.35">
      <c r="A47" s="246"/>
      <c r="B47" s="246" t="s">
        <v>170</v>
      </c>
      <c r="C47" s="246" t="s">
        <v>171</v>
      </c>
      <c r="D47" s="246" t="s">
        <v>57</v>
      </c>
      <c r="E47" s="246" t="s">
        <v>172</v>
      </c>
      <c r="F47" s="301" t="s">
        <v>173</v>
      </c>
      <c r="G47" s="18" t="s">
        <v>174</v>
      </c>
      <c r="H47" s="17" t="s">
        <v>280</v>
      </c>
      <c r="I47" s="18" t="s">
        <v>175</v>
      </c>
      <c r="J47" s="18" t="s">
        <v>229</v>
      </c>
      <c r="K47" s="18">
        <v>1</v>
      </c>
      <c r="L47" s="25" t="s">
        <v>293</v>
      </c>
      <c r="M47" s="25" t="s">
        <v>294</v>
      </c>
      <c r="N47" s="102" t="s">
        <v>293</v>
      </c>
      <c r="O47" s="138" t="s">
        <v>293</v>
      </c>
      <c r="P47" s="177"/>
      <c r="Q47" s="177"/>
      <c r="R47" s="177"/>
      <c r="S47" s="177"/>
      <c r="T47" s="246" t="s">
        <v>274</v>
      </c>
      <c r="U47" s="283" t="s">
        <v>403</v>
      </c>
      <c r="V47" s="284"/>
      <c r="W47" s="284"/>
      <c r="X47" s="284"/>
      <c r="Y47" s="284"/>
      <c r="Z47" s="284"/>
      <c r="AA47" s="284"/>
      <c r="AB47" s="284"/>
      <c r="AC47" s="284"/>
      <c r="AD47" s="284"/>
      <c r="AE47" s="284"/>
      <c r="AF47" s="284"/>
      <c r="AG47" s="284"/>
      <c r="AH47" s="284"/>
      <c r="AI47" s="284"/>
      <c r="AJ47" s="284"/>
      <c r="AK47" s="284"/>
      <c r="AL47" s="284"/>
      <c r="AM47" s="284"/>
      <c r="AN47" s="285"/>
      <c r="AO47" s="64" t="s">
        <v>402</v>
      </c>
      <c r="AP47" s="64" t="s">
        <v>402</v>
      </c>
      <c r="AQ47" s="64" t="s">
        <v>402</v>
      </c>
      <c r="AR47" s="64" t="s">
        <v>402</v>
      </c>
      <c r="AS47" s="64" t="s">
        <v>402</v>
      </c>
      <c r="AT47" s="64" t="s">
        <v>402</v>
      </c>
      <c r="AU47" s="106" t="s">
        <v>402</v>
      </c>
      <c r="AV47" s="64" t="s">
        <v>402</v>
      </c>
      <c r="AW47" s="106" t="s">
        <v>402</v>
      </c>
      <c r="AX47" s="64" t="s">
        <v>402</v>
      </c>
      <c r="AY47" s="64" t="s">
        <v>402</v>
      </c>
      <c r="AZ47" s="64" t="s">
        <v>402</v>
      </c>
      <c r="BA47" s="47"/>
      <c r="BB47" s="47"/>
    </row>
    <row r="48" spans="1:54" ht="72.5" x14ac:dyDescent="0.35">
      <c r="A48" s="246"/>
      <c r="B48" s="246"/>
      <c r="C48" s="246"/>
      <c r="D48" s="246"/>
      <c r="E48" s="246"/>
      <c r="F48" s="301"/>
      <c r="G48" s="18" t="s">
        <v>176</v>
      </c>
      <c r="H48" s="17" t="s">
        <v>280</v>
      </c>
      <c r="I48" s="18" t="s">
        <v>57</v>
      </c>
      <c r="J48" s="18" t="s">
        <v>230</v>
      </c>
      <c r="K48" s="18">
        <v>30</v>
      </c>
      <c r="L48" s="25" t="s">
        <v>293</v>
      </c>
      <c r="M48" s="25" t="s">
        <v>294</v>
      </c>
      <c r="N48" s="102" t="s">
        <v>293</v>
      </c>
      <c r="O48" s="138" t="s">
        <v>293</v>
      </c>
      <c r="P48" s="177"/>
      <c r="Q48" s="177"/>
      <c r="R48" s="177"/>
      <c r="S48" s="177"/>
      <c r="T48" s="246"/>
      <c r="U48" s="286"/>
      <c r="V48" s="287"/>
      <c r="W48" s="287"/>
      <c r="X48" s="287"/>
      <c r="Y48" s="287"/>
      <c r="Z48" s="287"/>
      <c r="AA48" s="287"/>
      <c r="AB48" s="287"/>
      <c r="AC48" s="287"/>
      <c r="AD48" s="287"/>
      <c r="AE48" s="287"/>
      <c r="AF48" s="287"/>
      <c r="AG48" s="287"/>
      <c r="AH48" s="287"/>
      <c r="AI48" s="287"/>
      <c r="AJ48" s="287"/>
      <c r="AK48" s="287"/>
      <c r="AL48" s="287"/>
      <c r="AM48" s="287"/>
      <c r="AN48" s="288"/>
      <c r="AO48" s="64" t="s">
        <v>402</v>
      </c>
      <c r="AP48" s="64" t="s">
        <v>402</v>
      </c>
      <c r="AQ48" s="64" t="s">
        <v>402</v>
      </c>
      <c r="AR48" s="64" t="s">
        <v>402</v>
      </c>
      <c r="AS48" s="64" t="s">
        <v>402</v>
      </c>
      <c r="AT48" s="64" t="s">
        <v>402</v>
      </c>
      <c r="AU48" s="106" t="s">
        <v>402</v>
      </c>
      <c r="AV48" s="64" t="s">
        <v>402</v>
      </c>
      <c r="AW48" s="106" t="s">
        <v>402</v>
      </c>
      <c r="AX48" s="64" t="s">
        <v>402</v>
      </c>
      <c r="AY48" s="64" t="s">
        <v>402</v>
      </c>
      <c r="AZ48" s="64" t="s">
        <v>402</v>
      </c>
      <c r="BA48" s="47"/>
      <c r="BB48" s="47"/>
    </row>
    <row r="49" spans="1:54" ht="255" customHeight="1" x14ac:dyDescent="0.35">
      <c r="A49" s="246" t="s">
        <v>177</v>
      </c>
      <c r="B49" s="246" t="s">
        <v>178</v>
      </c>
      <c r="C49" s="246" t="s">
        <v>179</v>
      </c>
      <c r="D49" s="246" t="s">
        <v>57</v>
      </c>
      <c r="E49" s="246" t="s">
        <v>180</v>
      </c>
      <c r="F49" s="301" t="s">
        <v>181</v>
      </c>
      <c r="G49" s="35" t="s">
        <v>182</v>
      </c>
      <c r="H49" s="36" t="s">
        <v>280</v>
      </c>
      <c r="I49" s="35" t="s">
        <v>183</v>
      </c>
      <c r="J49" s="35" t="s">
        <v>231</v>
      </c>
      <c r="K49" s="215">
        <v>26</v>
      </c>
      <c r="L49" s="215">
        <v>8</v>
      </c>
      <c r="M49" s="215">
        <v>5</v>
      </c>
      <c r="N49" s="215">
        <v>0</v>
      </c>
      <c r="O49" s="215">
        <v>1</v>
      </c>
      <c r="P49" s="216">
        <f>O49/L49</f>
        <v>0.125</v>
      </c>
      <c r="Q49" s="230">
        <f>SUM(P49:P50)/2</f>
        <v>0.28977272727272729</v>
      </c>
      <c r="R49" s="216">
        <f>(O49+N49+M49)/(K49)</f>
        <v>0.23076923076923078</v>
      </c>
      <c r="S49" s="230">
        <f>SUM(R49:R50)/2</f>
        <v>0.52538461538461534</v>
      </c>
      <c r="T49" s="246" t="s">
        <v>286</v>
      </c>
      <c r="U49" s="246" t="s">
        <v>287</v>
      </c>
      <c r="V49" s="34" t="s">
        <v>275</v>
      </c>
      <c r="W49" s="39" t="s">
        <v>341</v>
      </c>
      <c r="X49" s="38">
        <v>8</v>
      </c>
      <c r="Y49" s="91">
        <v>0</v>
      </c>
      <c r="Z49" s="126">
        <v>1</v>
      </c>
      <c r="AA49" s="178">
        <f>(Z49+Y49)/(X49)</f>
        <v>0.125</v>
      </c>
      <c r="AB49" s="224">
        <f>SUM(AA49:AA50)/2</f>
        <v>0.28977272727272729</v>
      </c>
      <c r="AC49" s="257" t="s">
        <v>582</v>
      </c>
      <c r="AD49" s="289" t="s">
        <v>600</v>
      </c>
      <c r="AE49" s="263">
        <v>210580286</v>
      </c>
      <c r="AF49" s="263">
        <v>106700000</v>
      </c>
      <c r="AG49" s="263">
        <v>210580286</v>
      </c>
      <c r="AH49" s="263">
        <v>106700000</v>
      </c>
      <c r="AI49" s="224">
        <f>AH49/AG49</f>
        <v>0.50669510440307786</v>
      </c>
      <c r="AJ49" s="74">
        <v>44593</v>
      </c>
      <c r="AK49" s="64">
        <v>330</v>
      </c>
      <c r="AL49" s="49" t="s">
        <v>358</v>
      </c>
      <c r="AM49" s="138" t="s">
        <v>559</v>
      </c>
      <c r="AN49" s="72">
        <v>0.5</v>
      </c>
      <c r="AO49" s="37" t="s">
        <v>366</v>
      </c>
      <c r="AP49" s="138" t="s">
        <v>546</v>
      </c>
      <c r="AQ49" s="45" t="s">
        <v>368</v>
      </c>
      <c r="AR49" s="60">
        <v>100000000</v>
      </c>
      <c r="AS49" s="46" t="s">
        <v>372</v>
      </c>
      <c r="AT49" s="46" t="s">
        <v>286</v>
      </c>
      <c r="AU49" s="88" t="s">
        <v>404</v>
      </c>
      <c r="AV49" s="46" t="s">
        <v>396</v>
      </c>
      <c r="AW49" s="88">
        <v>0</v>
      </c>
      <c r="AX49" s="46" t="s">
        <v>404</v>
      </c>
      <c r="AY49" s="56" t="s">
        <v>447</v>
      </c>
      <c r="AZ49" s="86">
        <v>44593</v>
      </c>
      <c r="BA49" s="47"/>
      <c r="BB49" s="133" t="s">
        <v>541</v>
      </c>
    </row>
    <row r="50" spans="1:54" ht="96" customHeight="1" x14ac:dyDescent="0.35">
      <c r="A50" s="246"/>
      <c r="B50" s="246"/>
      <c r="C50" s="246"/>
      <c r="D50" s="246"/>
      <c r="E50" s="246"/>
      <c r="F50" s="301"/>
      <c r="G50" s="18" t="s">
        <v>184</v>
      </c>
      <c r="H50" s="17" t="s">
        <v>280</v>
      </c>
      <c r="I50" s="18">
        <v>0</v>
      </c>
      <c r="J50" s="18" t="s">
        <v>232</v>
      </c>
      <c r="K50" s="215">
        <v>100</v>
      </c>
      <c r="L50" s="215">
        <v>33</v>
      </c>
      <c r="M50" s="215">
        <v>67</v>
      </c>
      <c r="N50" s="215">
        <v>15</v>
      </c>
      <c r="O50" s="215">
        <v>0</v>
      </c>
      <c r="P50" s="216">
        <f>(O50+N50)/(L50)</f>
        <v>0.45454545454545453</v>
      </c>
      <c r="Q50" s="232"/>
      <c r="R50" s="216">
        <f t="shared" ref="R50:R54" si="7">(O50+N50+M50)/(K50)</f>
        <v>0.82</v>
      </c>
      <c r="S50" s="232"/>
      <c r="T50" s="246"/>
      <c r="U50" s="246"/>
      <c r="V50" s="17" t="s">
        <v>276</v>
      </c>
      <c r="W50" s="39" t="s">
        <v>342</v>
      </c>
      <c r="X50" s="38">
        <v>33</v>
      </c>
      <c r="Y50" s="91">
        <v>15</v>
      </c>
      <c r="Z50" s="126">
        <v>0</v>
      </c>
      <c r="AA50" s="178">
        <f>(Z50+Y50)/(X50)</f>
        <v>0.45454545454545453</v>
      </c>
      <c r="AB50" s="226"/>
      <c r="AC50" s="259"/>
      <c r="AD50" s="290"/>
      <c r="AE50" s="265"/>
      <c r="AF50" s="265"/>
      <c r="AG50" s="265"/>
      <c r="AH50" s="265"/>
      <c r="AI50" s="226"/>
      <c r="AJ50" s="74">
        <v>44593</v>
      </c>
      <c r="AK50" s="64">
        <v>330</v>
      </c>
      <c r="AL50" s="67">
        <v>33</v>
      </c>
      <c r="AM50" s="92">
        <v>15</v>
      </c>
      <c r="AN50" s="72">
        <v>0.5</v>
      </c>
      <c r="AO50" s="37" t="s">
        <v>366</v>
      </c>
      <c r="AP50" s="138" t="s">
        <v>546</v>
      </c>
      <c r="AQ50" s="45" t="s">
        <v>368</v>
      </c>
      <c r="AR50" s="60">
        <v>110580286</v>
      </c>
      <c r="AS50" s="46" t="s">
        <v>372</v>
      </c>
      <c r="AT50" s="46" t="s">
        <v>286</v>
      </c>
      <c r="AU50" s="88" t="s">
        <v>404</v>
      </c>
      <c r="AV50" s="46" t="s">
        <v>396</v>
      </c>
      <c r="AW50" s="107">
        <v>106700000</v>
      </c>
      <c r="AX50" s="46" t="s">
        <v>404</v>
      </c>
      <c r="AY50" s="101" t="s">
        <v>446</v>
      </c>
      <c r="AZ50" s="86">
        <v>44562</v>
      </c>
      <c r="BA50" s="112" t="s">
        <v>502</v>
      </c>
      <c r="BB50" s="133" t="s">
        <v>542</v>
      </c>
    </row>
    <row r="51" spans="1:54" ht="100.9" customHeight="1" x14ac:dyDescent="0.35">
      <c r="A51" s="246"/>
      <c r="B51" s="246"/>
      <c r="C51" s="246" t="s">
        <v>185</v>
      </c>
      <c r="D51" s="246" t="s">
        <v>186</v>
      </c>
      <c r="E51" s="246" t="s">
        <v>187</v>
      </c>
      <c r="F51" s="300" t="s">
        <v>188</v>
      </c>
      <c r="G51" s="18" t="s">
        <v>189</v>
      </c>
      <c r="H51" s="17" t="s">
        <v>280</v>
      </c>
      <c r="I51" s="19">
        <v>1</v>
      </c>
      <c r="J51" s="18" t="s">
        <v>233</v>
      </c>
      <c r="K51" s="215">
        <v>5</v>
      </c>
      <c r="L51" s="220">
        <v>3</v>
      </c>
      <c r="M51" s="221">
        <v>0</v>
      </c>
      <c r="N51" s="220">
        <v>0</v>
      </c>
      <c r="O51" s="220">
        <v>0</v>
      </c>
      <c r="P51" s="216">
        <f t="shared" ref="P51:P54" si="8">(O51+N51)/(L51)</f>
        <v>0</v>
      </c>
      <c r="Q51" s="239">
        <f>SUM(P51:P53)/3</f>
        <v>0</v>
      </c>
      <c r="R51" s="211">
        <f t="shared" si="7"/>
        <v>0</v>
      </c>
      <c r="S51" s="230">
        <f>SUM(R51:R53)/3</f>
        <v>0</v>
      </c>
      <c r="T51" s="271" t="s">
        <v>288</v>
      </c>
      <c r="U51" s="271" t="s">
        <v>289</v>
      </c>
      <c r="V51" s="17" t="s">
        <v>277</v>
      </c>
      <c r="W51" s="41" t="s">
        <v>344</v>
      </c>
      <c r="X51" s="38">
        <v>3</v>
      </c>
      <c r="Y51" s="91">
        <v>0</v>
      </c>
      <c r="Z51" s="126">
        <v>0</v>
      </c>
      <c r="AA51" s="178">
        <f t="shared" ref="AA51:AA54" si="9">(Z51+Y51)/(X51)</f>
        <v>0</v>
      </c>
      <c r="AB51" s="227">
        <f>SUM(AA51:AA53)/3</f>
        <v>0</v>
      </c>
      <c r="AC51" s="257" t="s">
        <v>582</v>
      </c>
      <c r="AD51" s="289" t="s">
        <v>601</v>
      </c>
      <c r="AE51" s="263">
        <v>172292957</v>
      </c>
      <c r="AF51" s="263">
        <v>66576077</v>
      </c>
      <c r="AG51" s="263">
        <v>172292957</v>
      </c>
      <c r="AH51" s="263">
        <v>66576077</v>
      </c>
      <c r="AI51" s="224">
        <f>AH51/AG51</f>
        <v>0.3864120632626904</v>
      </c>
      <c r="AJ51" s="74">
        <v>44593</v>
      </c>
      <c r="AK51" s="64">
        <v>330</v>
      </c>
      <c r="AL51" s="49" t="s">
        <v>360</v>
      </c>
      <c r="AM51" s="89">
        <v>0</v>
      </c>
      <c r="AN51" s="72">
        <v>0.33300000000000002</v>
      </c>
      <c r="AO51" s="37" t="s">
        <v>366</v>
      </c>
      <c r="AP51" s="138" t="s">
        <v>546</v>
      </c>
      <c r="AQ51" s="45" t="s">
        <v>368</v>
      </c>
      <c r="AR51" s="60">
        <v>75000000</v>
      </c>
      <c r="AS51" s="46" t="s">
        <v>372</v>
      </c>
      <c r="AT51" s="46" t="s">
        <v>399</v>
      </c>
      <c r="AU51" s="88" t="s">
        <v>404</v>
      </c>
      <c r="AV51" s="46" t="s">
        <v>400</v>
      </c>
      <c r="AW51" s="88">
        <v>0</v>
      </c>
      <c r="AX51" s="46" t="s">
        <v>404</v>
      </c>
      <c r="AY51" s="56" t="s">
        <v>447</v>
      </c>
      <c r="AZ51" s="86">
        <v>44593</v>
      </c>
      <c r="BA51" s="47"/>
      <c r="BB51" s="47" t="s">
        <v>531</v>
      </c>
    </row>
    <row r="52" spans="1:54" ht="103.5" customHeight="1" x14ac:dyDescent="0.35">
      <c r="A52" s="246"/>
      <c r="B52" s="246"/>
      <c r="C52" s="246"/>
      <c r="D52" s="246"/>
      <c r="E52" s="246"/>
      <c r="F52" s="300"/>
      <c r="G52" s="18" t="s">
        <v>190</v>
      </c>
      <c r="H52" s="17" t="s">
        <v>280</v>
      </c>
      <c r="I52" s="17">
        <v>0</v>
      </c>
      <c r="J52" s="18" t="s">
        <v>234</v>
      </c>
      <c r="K52" s="215">
        <v>4</v>
      </c>
      <c r="L52" s="215">
        <v>2</v>
      </c>
      <c r="M52" s="220">
        <v>0</v>
      </c>
      <c r="N52" s="220">
        <v>0</v>
      </c>
      <c r="O52" s="220">
        <v>0</v>
      </c>
      <c r="P52" s="216">
        <f t="shared" si="8"/>
        <v>0</v>
      </c>
      <c r="Q52" s="240"/>
      <c r="R52" s="198">
        <f t="shared" si="7"/>
        <v>0</v>
      </c>
      <c r="S52" s="231"/>
      <c r="T52" s="278"/>
      <c r="U52" s="278"/>
      <c r="V52" s="246" t="s">
        <v>278</v>
      </c>
      <c r="W52" s="41" t="s">
        <v>345</v>
      </c>
      <c r="X52" s="38">
        <v>2</v>
      </c>
      <c r="Y52" s="91">
        <v>0</v>
      </c>
      <c r="Z52" s="126">
        <v>0</v>
      </c>
      <c r="AA52" s="178">
        <f t="shared" si="9"/>
        <v>0</v>
      </c>
      <c r="AB52" s="228"/>
      <c r="AC52" s="258"/>
      <c r="AD52" s="291"/>
      <c r="AE52" s="264"/>
      <c r="AF52" s="264"/>
      <c r="AG52" s="264"/>
      <c r="AH52" s="264"/>
      <c r="AI52" s="225"/>
      <c r="AJ52" s="74">
        <v>44593</v>
      </c>
      <c r="AK52" s="64">
        <v>330</v>
      </c>
      <c r="AL52" s="49" t="s">
        <v>359</v>
      </c>
      <c r="AM52" s="89">
        <v>0</v>
      </c>
      <c r="AN52" s="72">
        <v>0.33300000000000002</v>
      </c>
      <c r="AO52" s="37" t="s">
        <v>366</v>
      </c>
      <c r="AP52" s="138" t="s">
        <v>546</v>
      </c>
      <c r="AQ52" s="45" t="s">
        <v>368</v>
      </c>
      <c r="AR52" s="60">
        <v>31292957</v>
      </c>
      <c r="AS52" s="46" t="s">
        <v>372</v>
      </c>
      <c r="AT52" s="46" t="s">
        <v>399</v>
      </c>
      <c r="AU52" s="88" t="s">
        <v>404</v>
      </c>
      <c r="AV52" s="46" t="s">
        <v>400</v>
      </c>
      <c r="AW52" s="88">
        <v>0</v>
      </c>
      <c r="AX52" s="46" t="s">
        <v>404</v>
      </c>
      <c r="AY52" s="56" t="s">
        <v>447</v>
      </c>
      <c r="AZ52" s="86">
        <v>44593</v>
      </c>
      <c r="BA52" s="47"/>
      <c r="BB52" s="47" t="s">
        <v>531</v>
      </c>
    </row>
    <row r="53" spans="1:54" ht="130.5" x14ac:dyDescent="0.35">
      <c r="A53" s="246"/>
      <c r="B53" s="246"/>
      <c r="C53" s="246"/>
      <c r="D53" s="246"/>
      <c r="E53" s="246"/>
      <c r="F53" s="300"/>
      <c r="G53" s="18" t="s">
        <v>191</v>
      </c>
      <c r="H53" s="17" t="s">
        <v>280</v>
      </c>
      <c r="I53" s="17">
        <v>0</v>
      </c>
      <c r="J53" s="22" t="s">
        <v>235</v>
      </c>
      <c r="K53" s="215">
        <v>1</v>
      </c>
      <c r="L53" s="215">
        <v>1</v>
      </c>
      <c r="M53" s="220">
        <v>0</v>
      </c>
      <c r="N53" s="220">
        <v>0</v>
      </c>
      <c r="O53" s="220">
        <v>0</v>
      </c>
      <c r="P53" s="216">
        <f t="shared" si="8"/>
        <v>0</v>
      </c>
      <c r="Q53" s="241"/>
      <c r="R53" s="198">
        <f t="shared" si="7"/>
        <v>0</v>
      </c>
      <c r="S53" s="232"/>
      <c r="T53" s="272"/>
      <c r="U53" s="272"/>
      <c r="V53" s="246"/>
      <c r="W53" s="39" t="s">
        <v>343</v>
      </c>
      <c r="X53" s="38">
        <v>1</v>
      </c>
      <c r="Y53" s="91">
        <v>0</v>
      </c>
      <c r="Z53" s="126">
        <v>0</v>
      </c>
      <c r="AA53" s="178">
        <f t="shared" si="9"/>
        <v>0</v>
      </c>
      <c r="AB53" s="229"/>
      <c r="AC53" s="259"/>
      <c r="AD53" s="290"/>
      <c r="AE53" s="265"/>
      <c r="AF53" s="265"/>
      <c r="AG53" s="265"/>
      <c r="AH53" s="265"/>
      <c r="AI53" s="226"/>
      <c r="AJ53" s="74">
        <v>44593</v>
      </c>
      <c r="AK53" s="64">
        <v>330</v>
      </c>
      <c r="AL53" s="49" t="s">
        <v>359</v>
      </c>
      <c r="AM53" s="89">
        <v>0</v>
      </c>
      <c r="AN53" s="72">
        <v>0.33300000000000002</v>
      </c>
      <c r="AO53" s="37" t="s">
        <v>366</v>
      </c>
      <c r="AP53" s="138" t="s">
        <v>546</v>
      </c>
      <c r="AQ53" s="45" t="s">
        <v>368</v>
      </c>
      <c r="AR53" s="60">
        <v>66000000</v>
      </c>
      <c r="AS53" s="46" t="s">
        <v>372</v>
      </c>
      <c r="AT53" s="46" t="s">
        <v>399</v>
      </c>
      <c r="AU53" s="88" t="s">
        <v>404</v>
      </c>
      <c r="AV53" s="46" t="s">
        <v>400</v>
      </c>
      <c r="AW53" s="107">
        <v>66000000</v>
      </c>
      <c r="AX53" s="46" t="s">
        <v>404</v>
      </c>
      <c r="AY53" s="56" t="s">
        <v>446</v>
      </c>
      <c r="AZ53" s="86">
        <v>44562</v>
      </c>
      <c r="BA53" s="112" t="s">
        <v>501</v>
      </c>
      <c r="BB53" s="47" t="s">
        <v>531</v>
      </c>
    </row>
    <row r="54" spans="1:54" ht="115.9" customHeight="1" x14ac:dyDescent="0.35">
      <c r="A54" s="246"/>
      <c r="B54" s="246"/>
      <c r="C54" s="246"/>
      <c r="D54" s="246"/>
      <c r="E54" s="246"/>
      <c r="F54" s="17" t="s">
        <v>192</v>
      </c>
      <c r="G54" s="18" t="s">
        <v>193</v>
      </c>
      <c r="H54" s="17" t="s">
        <v>280</v>
      </c>
      <c r="I54" s="20">
        <v>0</v>
      </c>
      <c r="J54" s="18" t="s">
        <v>193</v>
      </c>
      <c r="K54" s="18">
        <v>1</v>
      </c>
      <c r="L54" s="25">
        <v>1</v>
      </c>
      <c r="M54" s="25">
        <v>1</v>
      </c>
      <c r="N54" s="102">
        <v>0</v>
      </c>
      <c r="O54" s="125">
        <v>0</v>
      </c>
      <c r="P54" s="183">
        <f t="shared" si="8"/>
        <v>0</v>
      </c>
      <c r="Q54" s="222">
        <f>+P54</f>
        <v>0</v>
      </c>
      <c r="R54" s="198">
        <f t="shared" si="7"/>
        <v>1</v>
      </c>
      <c r="S54" s="195">
        <f>+R54</f>
        <v>1</v>
      </c>
      <c r="T54" s="46" t="s">
        <v>364</v>
      </c>
      <c r="U54" s="46" t="s">
        <v>365</v>
      </c>
      <c r="V54" s="17" t="s">
        <v>279</v>
      </c>
      <c r="W54" s="39" t="s">
        <v>346</v>
      </c>
      <c r="X54" s="38">
        <v>1</v>
      </c>
      <c r="Y54" s="91">
        <v>0</v>
      </c>
      <c r="Z54" s="126">
        <v>0</v>
      </c>
      <c r="AA54" s="178">
        <f t="shared" si="9"/>
        <v>0</v>
      </c>
      <c r="AB54" s="197">
        <f>+AA54</f>
        <v>0</v>
      </c>
      <c r="AC54" s="175" t="s">
        <v>582</v>
      </c>
      <c r="AD54" s="166" t="s">
        <v>602</v>
      </c>
      <c r="AE54" s="167">
        <v>57430985</v>
      </c>
      <c r="AF54" s="161">
        <v>0</v>
      </c>
      <c r="AG54" s="167">
        <v>57430985</v>
      </c>
      <c r="AH54" s="161">
        <v>0</v>
      </c>
      <c r="AI54" s="161">
        <f>AH54/AG54</f>
        <v>0</v>
      </c>
      <c r="AJ54" s="74">
        <v>44593</v>
      </c>
      <c r="AK54" s="64">
        <v>330</v>
      </c>
      <c r="AL54" s="49" t="s">
        <v>359</v>
      </c>
      <c r="AM54" s="89">
        <v>0</v>
      </c>
      <c r="AN54" s="70">
        <v>1</v>
      </c>
      <c r="AO54" s="37" t="s">
        <v>366</v>
      </c>
      <c r="AP54" s="138" t="s">
        <v>546</v>
      </c>
      <c r="AQ54" s="45" t="s">
        <v>368</v>
      </c>
      <c r="AR54" s="76">
        <v>57430985</v>
      </c>
      <c r="AS54" s="46" t="s">
        <v>372</v>
      </c>
      <c r="AT54" s="46" t="s">
        <v>397</v>
      </c>
      <c r="AU54" s="88" t="s">
        <v>404</v>
      </c>
      <c r="AV54" s="46" t="s">
        <v>398</v>
      </c>
      <c r="AW54" s="88">
        <v>0</v>
      </c>
      <c r="AX54" s="46" t="s">
        <v>404</v>
      </c>
      <c r="AY54" s="56" t="s">
        <v>447</v>
      </c>
      <c r="AZ54" s="86">
        <v>44593</v>
      </c>
      <c r="BA54" s="47"/>
      <c r="BB54" s="47" t="s">
        <v>531</v>
      </c>
    </row>
    <row r="55" spans="1:54" ht="21" x14ac:dyDescent="0.35">
      <c r="Q55" s="202">
        <f>SUM(Q3:Q54)/(14)</f>
        <v>0.47357181824885941</v>
      </c>
      <c r="S55" s="202">
        <f>SUM(S3:S54)/(14)</f>
        <v>0.60115634687428687</v>
      </c>
      <c r="AB55" s="204">
        <f>(AB3+AB6+AB9+AB10+AB15+AB16+AB20+AB23+AB24+AB31+AB39+AB44+AB49+AB51+AB54)/15</f>
        <v>0.39497930710935092</v>
      </c>
      <c r="AG55" s="206">
        <f>(AG3+AG6+AG9+AG15+AG16+AG20+AG23+AG24+AG31+AG39+AG44+AG49+AG51+AG54+'PISCC 2022'!AG19)</f>
        <v>16229099572.66</v>
      </c>
      <c r="AH55" s="206">
        <f>(AH3+AH6+AH9+AH15+AH16+AH20+AH23+AH24+AH31+AH39+AH44+AH49+AH51+AH54+'PISCC 2022'!AH19)</f>
        <v>9310447402.0799999</v>
      </c>
      <c r="AI55" s="207">
        <f>AH55/AG55</f>
        <v>0.57368847608555207</v>
      </c>
    </row>
  </sheetData>
  <mergeCells count="303">
    <mergeCell ref="AG51:AG53"/>
    <mergeCell ref="AH51:AH53"/>
    <mergeCell ref="AI51:AI53"/>
    <mergeCell ref="P7:P8"/>
    <mergeCell ref="Q6:Q8"/>
    <mergeCell ref="S6:S8"/>
    <mergeCell ref="P10:P11"/>
    <mergeCell ref="P12:P14"/>
    <mergeCell ref="Q9:Q14"/>
    <mergeCell ref="R10:R11"/>
    <mergeCell ref="R12:R14"/>
    <mergeCell ref="AC49:AC50"/>
    <mergeCell ref="U39:U43"/>
    <mergeCell ref="T39:T43"/>
    <mergeCell ref="V31:V32"/>
    <mergeCell ref="V33:V37"/>
    <mergeCell ref="V40:V41"/>
    <mergeCell ref="V42:V43"/>
    <mergeCell ref="AH31:AH38"/>
    <mergeCell ref="AI31:AI38"/>
    <mergeCell ref="AD39:AD43"/>
    <mergeCell ref="AE39:AE43"/>
    <mergeCell ref="AF39:AF43"/>
    <mergeCell ref="AG39:AG43"/>
    <mergeCell ref="AH39:AH43"/>
    <mergeCell ref="AI39:AI43"/>
    <mergeCell ref="AC44:AC46"/>
    <mergeCell ref="AD44:AD46"/>
    <mergeCell ref="AE44:AE46"/>
    <mergeCell ref="AF44:AF46"/>
    <mergeCell ref="AG44:AG46"/>
    <mergeCell ref="AH44:AH46"/>
    <mergeCell ref="AI44:AI46"/>
    <mergeCell ref="AG31:AG38"/>
    <mergeCell ref="AH16:AH19"/>
    <mergeCell ref="AI16:AI19"/>
    <mergeCell ref="AI20:AI22"/>
    <mergeCell ref="AC20:AC22"/>
    <mergeCell ref="AD20:AD22"/>
    <mergeCell ref="AE20:AE22"/>
    <mergeCell ref="AF20:AF22"/>
    <mergeCell ref="AG20:AG22"/>
    <mergeCell ref="AH20:AH22"/>
    <mergeCell ref="I10:I11"/>
    <mergeCell ref="H10:H11"/>
    <mergeCell ref="G10:G11"/>
    <mergeCell ref="N10:N11"/>
    <mergeCell ref="O10:O11"/>
    <mergeCell ref="F16:F19"/>
    <mergeCell ref="G33:G37"/>
    <mergeCell ref="U6:U8"/>
    <mergeCell ref="T6:T8"/>
    <mergeCell ref="O7:O8"/>
    <mergeCell ref="N7:N8"/>
    <mergeCell ref="G12:G14"/>
    <mergeCell ref="I12:I14"/>
    <mergeCell ref="U16:U19"/>
    <mergeCell ref="H12:H14"/>
    <mergeCell ref="L12:L14"/>
    <mergeCell ref="M12:M14"/>
    <mergeCell ref="U20:U22"/>
    <mergeCell ref="T20:T22"/>
    <mergeCell ref="N12:N14"/>
    <mergeCell ref="O12:O14"/>
    <mergeCell ref="I33:I37"/>
    <mergeCell ref="H33:H37"/>
    <mergeCell ref="S9:S14"/>
    <mergeCell ref="C6:C8"/>
    <mergeCell ref="D6:D8"/>
    <mergeCell ref="E6:E8"/>
    <mergeCell ref="F6:F8"/>
    <mergeCell ref="M7:M8"/>
    <mergeCell ref="L7:L8"/>
    <mergeCell ref="K7:K8"/>
    <mergeCell ref="J7:J8"/>
    <mergeCell ref="I7:I8"/>
    <mergeCell ref="H7:H8"/>
    <mergeCell ref="G7:G8"/>
    <mergeCell ref="AT44:AT46"/>
    <mergeCell ref="AV44:AV46"/>
    <mergeCell ref="AX16:AX17"/>
    <mergeCell ref="AX20:AX21"/>
    <mergeCell ref="AX27:AX28"/>
    <mergeCell ref="AX42:AX43"/>
    <mergeCell ref="AX44:AX46"/>
    <mergeCell ref="AV27:AV28"/>
    <mergeCell ref="AT42:AT43"/>
    <mergeCell ref="AW16:AW17"/>
    <mergeCell ref="AU16:AU17"/>
    <mergeCell ref="AU20:AU21"/>
    <mergeCell ref="AW20:AW21"/>
    <mergeCell ref="AU27:AU28"/>
    <mergeCell ref="AW27:AW28"/>
    <mergeCell ref="AU44:AU46"/>
    <mergeCell ref="AW44:AW46"/>
    <mergeCell ref="AW42:AW43"/>
    <mergeCell ref="AU42:AU43"/>
    <mergeCell ref="AV42:AV43"/>
    <mergeCell ref="AT16:AT17"/>
    <mergeCell ref="AV16:AV17"/>
    <mergeCell ref="AY44:AY46"/>
    <mergeCell ref="AZ44:AZ46"/>
    <mergeCell ref="BA20:BA21"/>
    <mergeCell ref="AY16:AY17"/>
    <mergeCell ref="AZ16:AZ17"/>
    <mergeCell ref="AY20:AY21"/>
    <mergeCell ref="AZ20:AZ21"/>
    <mergeCell ref="AY27:AY28"/>
    <mergeCell ref="AZ27:AZ28"/>
    <mergeCell ref="AY42:AY43"/>
    <mergeCell ref="AZ42:AZ43"/>
    <mergeCell ref="BA27:BA28"/>
    <mergeCell ref="E1:AP1"/>
    <mergeCell ref="A3:A5"/>
    <mergeCell ref="B3:B5"/>
    <mergeCell ref="F3:F5"/>
    <mergeCell ref="A6:A48"/>
    <mergeCell ref="B6:B23"/>
    <mergeCell ref="F9:F14"/>
    <mergeCell ref="C10:C14"/>
    <mergeCell ref="D10:D14"/>
    <mergeCell ref="E10:E14"/>
    <mergeCell ref="C20:C23"/>
    <mergeCell ref="D20:D23"/>
    <mergeCell ref="E20:E23"/>
    <mergeCell ref="F20:F22"/>
    <mergeCell ref="B24:B38"/>
    <mergeCell ref="F24:F30"/>
    <mergeCell ref="C27:C30"/>
    <mergeCell ref="D27:D30"/>
    <mergeCell ref="E27:E30"/>
    <mergeCell ref="C31:C38"/>
    <mergeCell ref="D31:D38"/>
    <mergeCell ref="E31:E38"/>
    <mergeCell ref="F31:F38"/>
    <mergeCell ref="B47:B48"/>
    <mergeCell ref="C47:C48"/>
    <mergeCell ref="D47:D48"/>
    <mergeCell ref="E47:E48"/>
    <mergeCell ref="F47:F48"/>
    <mergeCell ref="B39:B46"/>
    <mergeCell ref="F39:F43"/>
    <mergeCell ref="C41:C42"/>
    <mergeCell ref="D41:D42"/>
    <mergeCell ref="E41:E42"/>
    <mergeCell ref="C44:C46"/>
    <mergeCell ref="D44:D46"/>
    <mergeCell ref="E44:E46"/>
    <mergeCell ref="F44:F46"/>
    <mergeCell ref="C51:C54"/>
    <mergeCell ref="D51:D54"/>
    <mergeCell ref="E51:E54"/>
    <mergeCell ref="F51:F53"/>
    <mergeCell ref="A49:A54"/>
    <mergeCell ref="B49:B54"/>
    <mergeCell ref="C49:C50"/>
    <mergeCell ref="D49:D50"/>
    <mergeCell ref="E49:E50"/>
    <mergeCell ref="F49:F50"/>
    <mergeCell ref="J33:J37"/>
    <mergeCell ref="K33:K37"/>
    <mergeCell ref="T24:T30"/>
    <mergeCell ref="U24:U30"/>
    <mergeCell ref="V25:V26"/>
    <mergeCell ref="V27:V28"/>
    <mergeCell ref="V29:V30"/>
    <mergeCell ref="T9:T14"/>
    <mergeCell ref="U9:U14"/>
    <mergeCell ref="V12:V14"/>
    <mergeCell ref="T16:T19"/>
    <mergeCell ref="V10:V11"/>
    <mergeCell ref="M10:M11"/>
    <mergeCell ref="L10:L11"/>
    <mergeCell ref="K10:K11"/>
    <mergeCell ref="V20:V22"/>
    <mergeCell ref="J12:J14"/>
    <mergeCell ref="K12:K14"/>
    <mergeCell ref="O33:O37"/>
    <mergeCell ref="J10:J11"/>
    <mergeCell ref="L33:L37"/>
    <mergeCell ref="M33:M37"/>
    <mergeCell ref="T31:T38"/>
    <mergeCell ref="U31:U38"/>
    <mergeCell ref="AR42:AR43"/>
    <mergeCell ref="W27:W28"/>
    <mergeCell ref="X27:X28"/>
    <mergeCell ref="AJ27:AJ28"/>
    <mergeCell ref="Y20:Y21"/>
    <mergeCell ref="AM20:AM21"/>
    <mergeCell ref="Y27:Y28"/>
    <mergeCell ref="AM27:AM28"/>
    <mergeCell ref="AK27:AK28"/>
    <mergeCell ref="AO20:AO21"/>
    <mergeCell ref="AP20:AP21"/>
    <mergeCell ref="AQ20:AQ21"/>
    <mergeCell ref="Z27:Z28"/>
    <mergeCell ref="Z20:Z21"/>
    <mergeCell ref="AC24:AC30"/>
    <mergeCell ref="AD24:AD30"/>
    <mergeCell ref="AE24:AE30"/>
    <mergeCell ref="AF24:AF30"/>
    <mergeCell ref="AG24:AG30"/>
    <mergeCell ref="AH24:AH30"/>
    <mergeCell ref="AI24:AI30"/>
    <mergeCell ref="AC31:AC38"/>
    <mergeCell ref="AD31:AD38"/>
    <mergeCell ref="AE31:AE38"/>
    <mergeCell ref="T51:T53"/>
    <mergeCell ref="U51:U53"/>
    <mergeCell ref="V52:V53"/>
    <mergeCell ref="AR44:AR46"/>
    <mergeCell ref="AS44:AS46"/>
    <mergeCell ref="T44:T46"/>
    <mergeCell ref="U44:U46"/>
    <mergeCell ref="T47:T48"/>
    <mergeCell ref="T49:T50"/>
    <mergeCell ref="U49:U50"/>
    <mergeCell ref="U47:AN48"/>
    <mergeCell ref="AB44:AB46"/>
    <mergeCell ref="AB49:AB50"/>
    <mergeCell ref="AB51:AB53"/>
    <mergeCell ref="AD49:AD50"/>
    <mergeCell ref="AE49:AE50"/>
    <mergeCell ref="AF49:AF50"/>
    <mergeCell ref="AG49:AG50"/>
    <mergeCell ref="AH49:AH50"/>
    <mergeCell ref="AI49:AI50"/>
    <mergeCell ref="AC51:AC53"/>
    <mergeCell ref="AD51:AD53"/>
    <mergeCell ref="AE51:AE53"/>
    <mergeCell ref="AF51:AF53"/>
    <mergeCell ref="AS42:AS43"/>
    <mergeCell ref="N33:N37"/>
    <mergeCell ref="AC39:AC43"/>
    <mergeCell ref="AH3:AH5"/>
    <mergeCell ref="AI3:AI5"/>
    <mergeCell ref="AI6:AI8"/>
    <mergeCell ref="AI9:AI11"/>
    <mergeCell ref="BB20:BB21"/>
    <mergeCell ref="BB27:BB28"/>
    <mergeCell ref="AS20:AS21"/>
    <mergeCell ref="AV20:AV21"/>
    <mergeCell ref="AR20:AR21"/>
    <mergeCell ref="AT20:AT21"/>
    <mergeCell ref="AR16:AR17"/>
    <mergeCell ref="AS16:AS17"/>
    <mergeCell ref="AO27:AO28"/>
    <mergeCell ref="AP27:AP28"/>
    <mergeCell ref="AQ27:AQ28"/>
    <mergeCell ref="AR27:AR28"/>
    <mergeCell ref="AS27:AS28"/>
    <mergeCell ref="AT27:AT28"/>
    <mergeCell ref="AJ20:AJ21"/>
    <mergeCell ref="AK20:AK21"/>
    <mergeCell ref="AL20:AL21"/>
    <mergeCell ref="AN20:AN21"/>
    <mergeCell ref="AL27:AL28"/>
    <mergeCell ref="AN27:AN28"/>
    <mergeCell ref="P33:P37"/>
    <mergeCell ref="R33:R37"/>
    <mergeCell ref="Q31:Q38"/>
    <mergeCell ref="S31:S38"/>
    <mergeCell ref="AC3:AC5"/>
    <mergeCell ref="AD3:AD5"/>
    <mergeCell ref="AE3:AE5"/>
    <mergeCell ref="AF3:AF5"/>
    <mergeCell ref="AG3:AG5"/>
    <mergeCell ref="W20:W21"/>
    <mergeCell ref="X20:X21"/>
    <mergeCell ref="T3:T5"/>
    <mergeCell ref="U3:U5"/>
    <mergeCell ref="V3:V5"/>
    <mergeCell ref="V6:V7"/>
    <mergeCell ref="AC16:AC19"/>
    <mergeCell ref="AD16:AD19"/>
    <mergeCell ref="AE16:AE19"/>
    <mergeCell ref="AF16:AF19"/>
    <mergeCell ref="AG16:AG19"/>
    <mergeCell ref="AF31:AF38"/>
    <mergeCell ref="Q44:Q46"/>
    <mergeCell ref="S44:S46"/>
    <mergeCell ref="Q49:Q50"/>
    <mergeCell ref="S49:S50"/>
    <mergeCell ref="Q51:Q53"/>
    <mergeCell ref="S51:S53"/>
    <mergeCell ref="Q16:Q19"/>
    <mergeCell ref="S16:S19"/>
    <mergeCell ref="Q20:Q22"/>
    <mergeCell ref="S20:S22"/>
    <mergeCell ref="Q24:Q30"/>
    <mergeCell ref="S24:S30"/>
    <mergeCell ref="AB3:AB5"/>
    <mergeCell ref="AB6:AB8"/>
    <mergeCell ref="AB10:AB14"/>
    <mergeCell ref="AB16:AB19"/>
    <mergeCell ref="AB20:AB22"/>
    <mergeCell ref="AB24:AB30"/>
    <mergeCell ref="AB31:AB38"/>
    <mergeCell ref="AB39:AB43"/>
    <mergeCell ref="Q3:Q5"/>
    <mergeCell ref="S3:S5"/>
    <mergeCell ref="Q39:Q43"/>
    <mergeCell ref="S39:S4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19"/>
  <sheetViews>
    <sheetView topLeftCell="H1" zoomScale="60" zoomScaleNormal="60" workbookViewId="0">
      <selection activeCell="S3" sqref="S3"/>
    </sheetView>
  </sheetViews>
  <sheetFormatPr baseColWidth="10" defaultColWidth="11.453125" defaultRowHeight="18.5" x14ac:dyDescent="0.35"/>
  <cols>
    <col min="1" max="1" width="16.54296875" customWidth="1"/>
    <col min="2" max="2" width="18" customWidth="1"/>
    <col min="3" max="3" width="20.26953125" hidden="1" customWidth="1"/>
    <col min="4" max="4" width="20.1796875" hidden="1" customWidth="1"/>
    <col min="5" max="5" width="21" hidden="1" customWidth="1"/>
    <col min="6" max="6" width="19.7265625" customWidth="1"/>
    <col min="7" max="7" width="21.81640625" customWidth="1"/>
    <col min="8" max="8" width="17.26953125" customWidth="1"/>
    <col min="9" max="9" width="22.7265625" customWidth="1"/>
    <col min="10" max="10" width="23.26953125" style="9" customWidth="1"/>
    <col min="11" max="11" width="20.81640625" style="8" customWidth="1"/>
    <col min="12" max="12" width="29.1796875" style="30" customWidth="1"/>
    <col min="13" max="19" width="23.54296875" style="31" customWidth="1"/>
    <col min="20" max="20" width="23.26953125" style="7" customWidth="1"/>
    <col min="21" max="21" width="18.81640625" style="6" customWidth="1"/>
    <col min="22" max="22" width="21.7265625" style="5" customWidth="1"/>
    <col min="23" max="23" width="21" style="4" customWidth="1"/>
    <col min="24" max="35" width="20.81640625" style="3" customWidth="1"/>
    <col min="36" max="36" width="18.26953125" style="1" customWidth="1"/>
    <col min="37" max="37" width="18.1796875" style="1" customWidth="1"/>
    <col min="38" max="39" width="20.453125" style="2" customWidth="1"/>
    <col min="40" max="40" width="21" customWidth="1"/>
    <col min="41" max="41" width="18.81640625" style="1" customWidth="1"/>
    <col min="42" max="42" width="19.26953125" customWidth="1"/>
    <col min="43" max="43" width="17.26953125" customWidth="1"/>
    <col min="44" max="44" width="30" customWidth="1"/>
    <col min="45" max="45" width="21.1796875" customWidth="1"/>
    <col min="46" max="47" width="22.1796875" customWidth="1"/>
    <col min="48" max="48" width="15.1796875" customWidth="1"/>
    <col min="49" max="49" width="23.81640625" customWidth="1"/>
    <col min="50" max="50" width="17.81640625" style="84" customWidth="1"/>
    <col min="51" max="51" width="16.54296875" customWidth="1"/>
    <col min="52" max="52" width="15.1796875" customWidth="1"/>
    <col min="53" max="53" width="18.453125" customWidth="1"/>
    <col min="54" max="54" width="19" customWidth="1"/>
  </cols>
  <sheetData>
    <row r="1" spans="1:54" ht="59.5" customHeight="1" x14ac:dyDescent="0.35">
      <c r="E1" s="302" t="s">
        <v>347</v>
      </c>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row>
    <row r="2" spans="1:54" s="10" customFormat="1" ht="114.65" customHeight="1" x14ac:dyDescent="0.3">
      <c r="A2" s="11" t="s">
        <v>21</v>
      </c>
      <c r="B2" s="11" t="s">
        <v>20</v>
      </c>
      <c r="C2" s="11" t="s">
        <v>19</v>
      </c>
      <c r="D2" s="11" t="s">
        <v>18</v>
      </c>
      <c r="E2" s="11" t="s">
        <v>17</v>
      </c>
      <c r="F2" s="11" t="s">
        <v>16</v>
      </c>
      <c r="G2" s="11" t="s">
        <v>15</v>
      </c>
      <c r="H2" s="11" t="s">
        <v>14</v>
      </c>
      <c r="I2" s="11" t="s">
        <v>13</v>
      </c>
      <c r="J2" s="11" t="s">
        <v>12</v>
      </c>
      <c r="K2" s="11" t="s">
        <v>30</v>
      </c>
      <c r="L2" s="11" t="s">
        <v>11</v>
      </c>
      <c r="M2" s="11" t="s">
        <v>24</v>
      </c>
      <c r="N2" s="96" t="s">
        <v>469</v>
      </c>
      <c r="O2" s="96" t="s">
        <v>514</v>
      </c>
      <c r="P2" s="185" t="s">
        <v>603</v>
      </c>
      <c r="Q2" s="185" t="s">
        <v>604</v>
      </c>
      <c r="R2" s="185" t="s">
        <v>605</v>
      </c>
      <c r="S2" s="185" t="s">
        <v>606</v>
      </c>
      <c r="T2" s="15" t="s">
        <v>10</v>
      </c>
      <c r="U2" s="24" t="s">
        <v>28</v>
      </c>
      <c r="V2" s="16" t="s">
        <v>9</v>
      </c>
      <c r="W2" s="16" t="s">
        <v>8</v>
      </c>
      <c r="X2" s="14" t="s">
        <v>31</v>
      </c>
      <c r="Y2" s="96" t="s">
        <v>470</v>
      </c>
      <c r="Z2" s="96" t="s">
        <v>514</v>
      </c>
      <c r="AA2" s="196" t="s">
        <v>607</v>
      </c>
      <c r="AB2" s="196" t="s">
        <v>608</v>
      </c>
      <c r="AC2" s="164" t="s">
        <v>584</v>
      </c>
      <c r="AD2" s="164" t="s">
        <v>585</v>
      </c>
      <c r="AE2" s="164" t="s">
        <v>586</v>
      </c>
      <c r="AF2" s="164" t="s">
        <v>587</v>
      </c>
      <c r="AG2" s="164" t="s">
        <v>588</v>
      </c>
      <c r="AH2" s="164" t="s">
        <v>589</v>
      </c>
      <c r="AI2" s="164" t="s">
        <v>581</v>
      </c>
      <c r="AJ2" s="79" t="s">
        <v>7</v>
      </c>
      <c r="AK2" s="13" t="s">
        <v>29</v>
      </c>
      <c r="AL2" s="13" t="s">
        <v>23</v>
      </c>
      <c r="AM2" s="98" t="s">
        <v>515</v>
      </c>
      <c r="AN2" s="13" t="s">
        <v>25</v>
      </c>
      <c r="AO2" s="11" t="s">
        <v>6</v>
      </c>
      <c r="AP2" s="11" t="s">
        <v>5</v>
      </c>
      <c r="AQ2" s="11" t="s">
        <v>4</v>
      </c>
      <c r="AR2" s="12" t="s">
        <v>26</v>
      </c>
      <c r="AS2" s="12" t="s">
        <v>3</v>
      </c>
      <c r="AT2" s="11" t="s">
        <v>2</v>
      </c>
      <c r="AU2" s="145" t="s">
        <v>471</v>
      </c>
      <c r="AV2" s="11" t="s">
        <v>1</v>
      </c>
      <c r="AW2" s="97" t="s">
        <v>566</v>
      </c>
      <c r="AX2" s="11" t="s">
        <v>0</v>
      </c>
      <c r="AY2" s="11" t="s">
        <v>27</v>
      </c>
      <c r="AZ2" s="11" t="s">
        <v>22</v>
      </c>
      <c r="BA2" s="97" t="s">
        <v>567</v>
      </c>
      <c r="BB2" s="97" t="s">
        <v>568</v>
      </c>
    </row>
    <row r="3" spans="1:54" ht="115.15" customHeight="1" x14ac:dyDescent="0.35">
      <c r="A3" s="246" t="s">
        <v>50</v>
      </c>
      <c r="B3" s="246" t="s">
        <v>51</v>
      </c>
      <c r="C3" s="246" t="s">
        <v>406</v>
      </c>
      <c r="D3" s="246" t="s">
        <v>407</v>
      </c>
      <c r="E3" s="246" t="s">
        <v>408</v>
      </c>
      <c r="F3" s="246" t="s">
        <v>409</v>
      </c>
      <c r="G3" s="246" t="s">
        <v>410</v>
      </c>
      <c r="H3" s="246" t="s">
        <v>413</v>
      </c>
      <c r="I3" s="246" t="s">
        <v>411</v>
      </c>
      <c r="J3" s="246" t="s">
        <v>412</v>
      </c>
      <c r="K3" s="246">
        <v>1</v>
      </c>
      <c r="L3" s="246" t="s">
        <v>415</v>
      </c>
      <c r="M3" s="246" t="s">
        <v>414</v>
      </c>
      <c r="N3" s="246" t="s">
        <v>507</v>
      </c>
      <c r="O3" s="246" t="s">
        <v>507</v>
      </c>
      <c r="P3" s="179">
        <v>75</v>
      </c>
      <c r="Q3" s="179">
        <v>75</v>
      </c>
      <c r="R3" s="179">
        <v>75</v>
      </c>
      <c r="S3" s="223">
        <v>75</v>
      </c>
      <c r="T3" s="326" t="s">
        <v>416</v>
      </c>
      <c r="U3" s="326" t="s">
        <v>421</v>
      </c>
      <c r="V3" s="326" t="s">
        <v>420</v>
      </c>
      <c r="W3" s="123" t="s">
        <v>424</v>
      </c>
      <c r="X3" s="51">
        <v>4</v>
      </c>
      <c r="Y3" s="104">
        <v>0</v>
      </c>
      <c r="Z3" s="126">
        <v>3</v>
      </c>
      <c r="AA3" s="178">
        <f>(Z3+Y3)/(X3)</f>
        <v>0.75</v>
      </c>
      <c r="AB3" s="224">
        <f>SUM(AA3:AA18)/16</f>
        <v>0.3325892857142857</v>
      </c>
      <c r="AC3" s="257" t="s">
        <v>590</v>
      </c>
      <c r="AD3" s="330" t="s">
        <v>591</v>
      </c>
      <c r="AE3" s="263">
        <v>1786572895</v>
      </c>
      <c r="AF3" s="263">
        <v>1365728220</v>
      </c>
      <c r="AG3" s="263">
        <v>5771526313</v>
      </c>
      <c r="AH3" s="263">
        <v>2321169381</v>
      </c>
      <c r="AI3" s="224">
        <f>AH3/AG3</f>
        <v>0.40217600251976882</v>
      </c>
      <c r="AJ3" s="43">
        <v>44562</v>
      </c>
      <c r="AK3" s="44">
        <v>365</v>
      </c>
      <c r="AL3" s="77" t="s">
        <v>307</v>
      </c>
      <c r="AM3" s="77" t="s">
        <v>307</v>
      </c>
      <c r="AN3" s="65">
        <v>0.1666</v>
      </c>
      <c r="AO3" s="320" t="s">
        <v>444</v>
      </c>
      <c r="AP3" s="320" t="s">
        <v>573</v>
      </c>
      <c r="AQ3" s="320" t="s">
        <v>368</v>
      </c>
      <c r="AR3" s="322">
        <v>1786572895</v>
      </c>
      <c r="AS3" s="320" t="s">
        <v>457</v>
      </c>
      <c r="AT3" s="320" t="s">
        <v>456</v>
      </c>
      <c r="AU3" s="320" t="s">
        <v>405</v>
      </c>
      <c r="AV3" s="320" t="s">
        <v>458</v>
      </c>
      <c r="AW3" s="322">
        <v>1365728220</v>
      </c>
      <c r="AX3" s="329" t="s">
        <v>404</v>
      </c>
      <c r="AY3" s="320" t="s">
        <v>455</v>
      </c>
      <c r="AZ3" s="336">
        <v>44593</v>
      </c>
      <c r="BA3" s="142"/>
      <c r="BB3" s="142" t="s">
        <v>575</v>
      </c>
    </row>
    <row r="4" spans="1:54" ht="118.15" customHeight="1" x14ac:dyDescent="0.35">
      <c r="A4" s="246"/>
      <c r="B4" s="246"/>
      <c r="C4" s="246"/>
      <c r="D4" s="246"/>
      <c r="E4" s="246"/>
      <c r="F4" s="246"/>
      <c r="G4" s="246"/>
      <c r="H4" s="246"/>
      <c r="I4" s="246"/>
      <c r="J4" s="246"/>
      <c r="K4" s="246"/>
      <c r="L4" s="246"/>
      <c r="M4" s="246"/>
      <c r="N4" s="246"/>
      <c r="O4" s="246"/>
      <c r="P4" s="182"/>
      <c r="Q4" s="182"/>
      <c r="R4" s="182"/>
      <c r="S4" s="182"/>
      <c r="T4" s="327"/>
      <c r="U4" s="327"/>
      <c r="V4" s="327"/>
      <c r="W4" s="67" t="s">
        <v>425</v>
      </c>
      <c r="X4" s="51">
        <v>21</v>
      </c>
      <c r="Y4" s="104">
        <v>0</v>
      </c>
      <c r="Z4" s="126">
        <v>18</v>
      </c>
      <c r="AA4" s="178">
        <f t="shared" ref="AA4:AA17" si="0">(Z4+Y4)/(X4)</f>
        <v>0.8571428571428571</v>
      </c>
      <c r="AB4" s="225"/>
      <c r="AC4" s="258"/>
      <c r="AD4" s="331"/>
      <c r="AE4" s="264"/>
      <c r="AF4" s="264"/>
      <c r="AG4" s="264"/>
      <c r="AH4" s="264"/>
      <c r="AI4" s="225"/>
      <c r="AJ4" s="43">
        <v>44562</v>
      </c>
      <c r="AK4" s="44">
        <v>365</v>
      </c>
      <c r="AL4" s="77" t="s">
        <v>307</v>
      </c>
      <c r="AM4" s="77" t="s">
        <v>307</v>
      </c>
      <c r="AN4" s="65">
        <v>0.1666</v>
      </c>
      <c r="AO4" s="320" t="s">
        <v>444</v>
      </c>
      <c r="AP4" s="320" t="s">
        <v>445</v>
      </c>
      <c r="AQ4" s="320" t="s">
        <v>368</v>
      </c>
      <c r="AR4" s="322"/>
      <c r="AS4" s="320"/>
      <c r="AT4" s="320"/>
      <c r="AU4" s="320"/>
      <c r="AV4" s="320"/>
      <c r="AW4" s="322"/>
      <c r="AX4" s="329" t="s">
        <v>404</v>
      </c>
      <c r="AY4" s="320"/>
      <c r="AZ4" s="320"/>
      <c r="BA4" s="141"/>
      <c r="BB4" s="142" t="s">
        <v>574</v>
      </c>
    </row>
    <row r="5" spans="1:54" ht="115.9" customHeight="1" x14ac:dyDescent="0.35">
      <c r="A5" s="246"/>
      <c r="B5" s="246"/>
      <c r="C5" s="246"/>
      <c r="D5" s="246"/>
      <c r="E5" s="246"/>
      <c r="F5" s="246"/>
      <c r="G5" s="246"/>
      <c r="H5" s="246"/>
      <c r="I5" s="246"/>
      <c r="J5" s="246"/>
      <c r="K5" s="246"/>
      <c r="L5" s="246"/>
      <c r="M5" s="246"/>
      <c r="N5" s="246"/>
      <c r="O5" s="246"/>
      <c r="P5" s="182"/>
      <c r="Q5" s="182"/>
      <c r="R5" s="182"/>
      <c r="S5" s="182"/>
      <c r="T5" s="327"/>
      <c r="U5" s="327"/>
      <c r="V5" s="327"/>
      <c r="W5" s="123" t="s">
        <v>423</v>
      </c>
      <c r="X5" s="51">
        <v>14</v>
      </c>
      <c r="Y5" s="104">
        <v>0</v>
      </c>
      <c r="Z5" s="149">
        <v>0</v>
      </c>
      <c r="AA5" s="178">
        <f t="shared" si="0"/>
        <v>0</v>
      </c>
      <c r="AB5" s="225"/>
      <c r="AC5" s="258"/>
      <c r="AD5" s="331"/>
      <c r="AE5" s="264"/>
      <c r="AF5" s="264"/>
      <c r="AG5" s="264"/>
      <c r="AH5" s="264"/>
      <c r="AI5" s="225"/>
      <c r="AJ5" s="43">
        <v>44562</v>
      </c>
      <c r="AK5" s="44">
        <v>365</v>
      </c>
      <c r="AL5" s="77" t="s">
        <v>307</v>
      </c>
      <c r="AM5" s="77">
        <v>0</v>
      </c>
      <c r="AN5" s="65">
        <v>0.1666</v>
      </c>
      <c r="AO5" s="320" t="s">
        <v>444</v>
      </c>
      <c r="AP5" s="320" t="s">
        <v>445</v>
      </c>
      <c r="AQ5" s="320" t="s">
        <v>368</v>
      </c>
      <c r="AR5" s="322"/>
      <c r="AS5" s="320"/>
      <c r="AT5" s="320"/>
      <c r="AU5" s="320"/>
      <c r="AV5" s="320"/>
      <c r="AW5" s="322"/>
      <c r="AX5" s="329" t="s">
        <v>404</v>
      </c>
      <c r="AY5" s="320"/>
      <c r="AZ5" s="320"/>
      <c r="BA5" s="141"/>
      <c r="BB5" s="152" t="s">
        <v>570</v>
      </c>
    </row>
    <row r="6" spans="1:54" ht="142.9" customHeight="1" x14ac:dyDescent="0.35">
      <c r="A6" s="246"/>
      <c r="B6" s="246"/>
      <c r="C6" s="246"/>
      <c r="D6" s="246"/>
      <c r="E6" s="246"/>
      <c r="F6" s="246"/>
      <c r="G6" s="246"/>
      <c r="H6" s="246"/>
      <c r="I6" s="246"/>
      <c r="J6" s="246"/>
      <c r="K6" s="246"/>
      <c r="L6" s="246"/>
      <c r="M6" s="246"/>
      <c r="N6" s="246"/>
      <c r="O6" s="246"/>
      <c r="P6" s="182"/>
      <c r="Q6" s="182"/>
      <c r="R6" s="182"/>
      <c r="S6" s="182"/>
      <c r="T6" s="327"/>
      <c r="U6" s="327"/>
      <c r="V6" s="327"/>
      <c r="W6" s="67" t="s">
        <v>427</v>
      </c>
      <c r="X6" s="51">
        <v>45</v>
      </c>
      <c r="Y6" s="104">
        <v>370</v>
      </c>
      <c r="Z6" s="126">
        <v>44</v>
      </c>
      <c r="AA6" s="178">
        <v>1</v>
      </c>
      <c r="AB6" s="225"/>
      <c r="AC6" s="258"/>
      <c r="AD6" s="331"/>
      <c r="AE6" s="264"/>
      <c r="AF6" s="264"/>
      <c r="AG6" s="264"/>
      <c r="AH6" s="264"/>
      <c r="AI6" s="225"/>
      <c r="AJ6" s="43">
        <v>44562</v>
      </c>
      <c r="AK6" s="44">
        <v>365</v>
      </c>
      <c r="AL6" s="77" t="s">
        <v>307</v>
      </c>
      <c r="AM6" s="77" t="s">
        <v>307</v>
      </c>
      <c r="AN6" s="65">
        <v>0.1666</v>
      </c>
      <c r="AO6" s="320" t="s">
        <v>444</v>
      </c>
      <c r="AP6" s="320" t="s">
        <v>445</v>
      </c>
      <c r="AQ6" s="320" t="s">
        <v>368</v>
      </c>
      <c r="AR6" s="322"/>
      <c r="AS6" s="320"/>
      <c r="AT6" s="320"/>
      <c r="AU6" s="320"/>
      <c r="AV6" s="320"/>
      <c r="AW6" s="322"/>
      <c r="AX6" s="329" t="s">
        <v>404</v>
      </c>
      <c r="AY6" s="320"/>
      <c r="AZ6" s="320"/>
      <c r="BA6" s="141" t="s">
        <v>572</v>
      </c>
      <c r="BB6" s="141" t="s">
        <v>571</v>
      </c>
    </row>
    <row r="7" spans="1:54" ht="88.9" customHeight="1" x14ac:dyDescent="0.35">
      <c r="A7" s="246"/>
      <c r="B7" s="246"/>
      <c r="C7" s="246"/>
      <c r="D7" s="246"/>
      <c r="E7" s="246"/>
      <c r="F7" s="246"/>
      <c r="G7" s="246"/>
      <c r="H7" s="246"/>
      <c r="I7" s="246"/>
      <c r="J7" s="246"/>
      <c r="K7" s="246"/>
      <c r="L7" s="246"/>
      <c r="M7" s="246"/>
      <c r="N7" s="246"/>
      <c r="O7" s="246"/>
      <c r="P7" s="182"/>
      <c r="Q7" s="182"/>
      <c r="R7" s="182"/>
      <c r="S7" s="182"/>
      <c r="T7" s="327"/>
      <c r="U7" s="327"/>
      <c r="V7" s="327"/>
      <c r="W7" s="67" t="s">
        <v>428</v>
      </c>
      <c r="X7" s="51">
        <v>1</v>
      </c>
      <c r="Y7" s="104">
        <v>0</v>
      </c>
      <c r="Z7" s="149">
        <v>0</v>
      </c>
      <c r="AA7" s="178">
        <f t="shared" si="0"/>
        <v>0</v>
      </c>
      <c r="AB7" s="225"/>
      <c r="AC7" s="258"/>
      <c r="AD7" s="331"/>
      <c r="AE7" s="264"/>
      <c r="AF7" s="264"/>
      <c r="AG7" s="264"/>
      <c r="AH7" s="264"/>
      <c r="AI7" s="225"/>
      <c r="AJ7" s="43">
        <v>44562</v>
      </c>
      <c r="AK7" s="44">
        <v>365</v>
      </c>
      <c r="AL7" s="77" t="s">
        <v>307</v>
      </c>
      <c r="AM7" s="77">
        <v>0</v>
      </c>
      <c r="AN7" s="65">
        <v>0.1666</v>
      </c>
      <c r="AO7" s="320" t="s">
        <v>444</v>
      </c>
      <c r="AP7" s="320" t="s">
        <v>445</v>
      </c>
      <c r="AQ7" s="320" t="s">
        <v>368</v>
      </c>
      <c r="AR7" s="322"/>
      <c r="AS7" s="320"/>
      <c r="AT7" s="320"/>
      <c r="AU7" s="320"/>
      <c r="AV7" s="320"/>
      <c r="AW7" s="322"/>
      <c r="AX7" s="329" t="s">
        <v>404</v>
      </c>
      <c r="AY7" s="320"/>
      <c r="AZ7" s="320"/>
      <c r="BA7" s="141"/>
      <c r="BB7" s="150" t="s">
        <v>570</v>
      </c>
    </row>
    <row r="8" spans="1:54" ht="205.15" customHeight="1" x14ac:dyDescent="0.35">
      <c r="A8" s="246"/>
      <c r="B8" s="246"/>
      <c r="C8" s="246"/>
      <c r="D8" s="246"/>
      <c r="E8" s="246"/>
      <c r="F8" s="246"/>
      <c r="G8" s="246"/>
      <c r="H8" s="246"/>
      <c r="I8" s="246"/>
      <c r="J8" s="246"/>
      <c r="K8" s="246"/>
      <c r="L8" s="246"/>
      <c r="M8" s="246"/>
      <c r="N8" s="246"/>
      <c r="O8" s="246"/>
      <c r="P8" s="180"/>
      <c r="Q8" s="180"/>
      <c r="R8" s="180"/>
      <c r="S8" s="180"/>
      <c r="T8" s="328"/>
      <c r="U8" s="328"/>
      <c r="V8" s="328"/>
      <c r="W8" s="67" t="s">
        <v>426</v>
      </c>
      <c r="X8" s="51">
        <v>2</v>
      </c>
      <c r="Y8" s="104">
        <v>2</v>
      </c>
      <c r="Z8" s="126">
        <v>0</v>
      </c>
      <c r="AA8" s="178">
        <f t="shared" si="0"/>
        <v>1</v>
      </c>
      <c r="AB8" s="225"/>
      <c r="AC8" s="259"/>
      <c r="AD8" s="332"/>
      <c r="AE8" s="265"/>
      <c r="AF8" s="265"/>
      <c r="AG8" s="265"/>
      <c r="AH8" s="265"/>
      <c r="AI8" s="225"/>
      <c r="AJ8" s="43">
        <v>44562</v>
      </c>
      <c r="AK8" s="44">
        <v>365</v>
      </c>
      <c r="AL8" s="77" t="s">
        <v>307</v>
      </c>
      <c r="AM8" s="77" t="s">
        <v>307</v>
      </c>
      <c r="AN8" s="65">
        <v>0.1666</v>
      </c>
      <c r="AO8" s="320" t="s">
        <v>444</v>
      </c>
      <c r="AP8" s="320" t="s">
        <v>445</v>
      </c>
      <c r="AQ8" s="320" t="s">
        <v>368</v>
      </c>
      <c r="AR8" s="322"/>
      <c r="AS8" s="320"/>
      <c r="AT8" s="320"/>
      <c r="AU8" s="320"/>
      <c r="AV8" s="320"/>
      <c r="AW8" s="322"/>
      <c r="AX8" s="329" t="s">
        <v>404</v>
      </c>
      <c r="AY8" s="320"/>
      <c r="AZ8" s="320"/>
      <c r="BA8" s="141" t="s">
        <v>513</v>
      </c>
      <c r="BB8" s="141" t="s">
        <v>528</v>
      </c>
    </row>
    <row r="9" spans="1:54" ht="72" customHeight="1" x14ac:dyDescent="0.35">
      <c r="A9" s="246"/>
      <c r="B9" s="246"/>
      <c r="C9" s="246"/>
      <c r="D9" s="246"/>
      <c r="E9" s="246"/>
      <c r="F9" s="246"/>
      <c r="G9" s="246"/>
      <c r="H9" s="246"/>
      <c r="I9" s="246"/>
      <c r="J9" s="246"/>
      <c r="K9" s="246"/>
      <c r="L9" s="246"/>
      <c r="M9" s="246"/>
      <c r="N9" s="246"/>
      <c r="O9" s="246"/>
      <c r="P9" s="181"/>
      <c r="Q9" s="181"/>
      <c r="R9" s="181"/>
      <c r="S9" s="181"/>
      <c r="T9" s="246" t="s">
        <v>417</v>
      </c>
      <c r="U9" s="298" t="s">
        <v>452</v>
      </c>
      <c r="V9" s="271" t="s">
        <v>437</v>
      </c>
      <c r="W9" s="67" t="s">
        <v>429</v>
      </c>
      <c r="X9" s="51">
        <v>4</v>
      </c>
      <c r="Y9" s="104">
        <v>0</v>
      </c>
      <c r="Z9" s="119">
        <v>0</v>
      </c>
      <c r="AA9" s="178">
        <f t="shared" si="0"/>
        <v>0</v>
      </c>
      <c r="AB9" s="225"/>
      <c r="AC9" s="227"/>
      <c r="AD9" s="295"/>
      <c r="AE9" s="263"/>
      <c r="AF9" s="263"/>
      <c r="AG9" s="263"/>
      <c r="AH9" s="263"/>
      <c r="AI9" s="225"/>
      <c r="AJ9" s="43">
        <v>44562</v>
      </c>
      <c r="AK9" s="44">
        <v>365</v>
      </c>
      <c r="AL9" s="77" t="s">
        <v>307</v>
      </c>
      <c r="AM9" s="77">
        <v>0</v>
      </c>
      <c r="AN9" s="65">
        <v>0.1666</v>
      </c>
      <c r="AO9" s="320" t="s">
        <v>444</v>
      </c>
      <c r="AP9" s="320" t="s">
        <v>573</v>
      </c>
      <c r="AQ9" s="329" t="s">
        <v>368</v>
      </c>
      <c r="AR9" s="321">
        <v>1021476709</v>
      </c>
      <c r="AS9" s="320" t="s">
        <v>457</v>
      </c>
      <c r="AT9" s="320" t="s">
        <v>459</v>
      </c>
      <c r="AU9" s="320" t="s">
        <v>405</v>
      </c>
      <c r="AV9" s="320" t="s">
        <v>460</v>
      </c>
      <c r="AW9" s="321">
        <v>0</v>
      </c>
      <c r="AX9" s="329" t="s">
        <v>404</v>
      </c>
      <c r="AY9" s="320" t="s">
        <v>455</v>
      </c>
      <c r="AZ9" s="335">
        <v>44593</v>
      </c>
      <c r="BA9" s="333" t="s">
        <v>509</v>
      </c>
      <c r="BB9" s="333" t="s">
        <v>570</v>
      </c>
    </row>
    <row r="10" spans="1:54" ht="101.5" x14ac:dyDescent="0.35">
      <c r="A10" s="246"/>
      <c r="B10" s="246"/>
      <c r="C10" s="246"/>
      <c r="D10" s="246"/>
      <c r="E10" s="246"/>
      <c r="F10" s="246"/>
      <c r="G10" s="246"/>
      <c r="H10" s="246"/>
      <c r="I10" s="246"/>
      <c r="J10" s="246"/>
      <c r="K10" s="246"/>
      <c r="L10" s="246"/>
      <c r="M10" s="246"/>
      <c r="N10" s="246"/>
      <c r="O10" s="246"/>
      <c r="P10" s="181"/>
      <c r="Q10" s="181"/>
      <c r="R10" s="181"/>
      <c r="S10" s="181"/>
      <c r="T10" s="246"/>
      <c r="U10" s="298"/>
      <c r="V10" s="278"/>
      <c r="W10" s="150" t="s">
        <v>434</v>
      </c>
      <c r="X10" s="51">
        <v>1</v>
      </c>
      <c r="Y10" s="104">
        <v>0</v>
      </c>
      <c r="Z10" s="119">
        <v>0</v>
      </c>
      <c r="AA10" s="178">
        <f t="shared" si="0"/>
        <v>0</v>
      </c>
      <c r="AB10" s="225"/>
      <c r="AC10" s="228"/>
      <c r="AD10" s="296"/>
      <c r="AE10" s="264"/>
      <c r="AF10" s="264"/>
      <c r="AG10" s="264"/>
      <c r="AH10" s="264"/>
      <c r="AI10" s="225"/>
      <c r="AJ10" s="43">
        <v>44562</v>
      </c>
      <c r="AK10" s="44">
        <v>365</v>
      </c>
      <c r="AL10" s="77" t="s">
        <v>307</v>
      </c>
      <c r="AM10" s="77">
        <v>0</v>
      </c>
      <c r="AN10" s="65">
        <v>0.1666</v>
      </c>
      <c r="AO10" s="320" t="s">
        <v>444</v>
      </c>
      <c r="AP10" s="320" t="s">
        <v>445</v>
      </c>
      <c r="AQ10" s="329" t="s">
        <v>368</v>
      </c>
      <c r="AR10" s="321"/>
      <c r="AS10" s="320"/>
      <c r="AT10" s="320"/>
      <c r="AU10" s="320"/>
      <c r="AV10" s="320"/>
      <c r="AW10" s="321"/>
      <c r="AX10" s="329" t="s">
        <v>404</v>
      </c>
      <c r="AY10" s="320"/>
      <c r="AZ10" s="329"/>
      <c r="BA10" s="334"/>
      <c r="BB10" s="334"/>
    </row>
    <row r="11" spans="1:54" ht="130.5" x14ac:dyDescent="0.35">
      <c r="A11" s="246"/>
      <c r="B11" s="246"/>
      <c r="C11" s="246"/>
      <c r="D11" s="246"/>
      <c r="E11" s="246"/>
      <c r="F11" s="246"/>
      <c r="G11" s="246"/>
      <c r="H11" s="246"/>
      <c r="I11" s="246"/>
      <c r="J11" s="246"/>
      <c r="K11" s="246"/>
      <c r="L11" s="246"/>
      <c r="M11" s="246"/>
      <c r="N11" s="246"/>
      <c r="O11" s="246"/>
      <c r="P11" s="181"/>
      <c r="Q11" s="181"/>
      <c r="R11" s="181"/>
      <c r="S11" s="181"/>
      <c r="T11" s="246"/>
      <c r="U11" s="298"/>
      <c r="V11" s="278"/>
      <c r="W11" s="67" t="s">
        <v>430</v>
      </c>
      <c r="X11" s="51">
        <v>24</v>
      </c>
      <c r="Y11" s="104">
        <v>0</v>
      </c>
      <c r="Z11" s="119">
        <v>0</v>
      </c>
      <c r="AA11" s="178">
        <f t="shared" si="0"/>
        <v>0</v>
      </c>
      <c r="AB11" s="225"/>
      <c r="AC11" s="228"/>
      <c r="AD11" s="296"/>
      <c r="AE11" s="264"/>
      <c r="AF11" s="264"/>
      <c r="AG11" s="264"/>
      <c r="AH11" s="264"/>
      <c r="AI11" s="225"/>
      <c r="AJ11" s="43">
        <v>44562</v>
      </c>
      <c r="AK11" s="44">
        <v>365</v>
      </c>
      <c r="AL11" s="77" t="s">
        <v>307</v>
      </c>
      <c r="AM11" s="77">
        <v>0</v>
      </c>
      <c r="AN11" s="65">
        <v>0.1666</v>
      </c>
      <c r="AO11" s="320" t="s">
        <v>444</v>
      </c>
      <c r="AP11" s="320" t="s">
        <v>445</v>
      </c>
      <c r="AQ11" s="329" t="s">
        <v>368</v>
      </c>
      <c r="AR11" s="321"/>
      <c r="AS11" s="320"/>
      <c r="AT11" s="320"/>
      <c r="AU11" s="320"/>
      <c r="AV11" s="320"/>
      <c r="AW11" s="321"/>
      <c r="AX11" s="329" t="s">
        <v>404</v>
      </c>
      <c r="AY11" s="320"/>
      <c r="AZ11" s="329"/>
      <c r="BA11" s="334"/>
      <c r="BB11" s="334"/>
    </row>
    <row r="12" spans="1:54" ht="145" x14ac:dyDescent="0.35">
      <c r="A12" s="246"/>
      <c r="B12" s="246"/>
      <c r="C12" s="246"/>
      <c r="D12" s="246"/>
      <c r="E12" s="246"/>
      <c r="F12" s="246"/>
      <c r="G12" s="246"/>
      <c r="H12" s="246"/>
      <c r="I12" s="246"/>
      <c r="J12" s="246"/>
      <c r="K12" s="246"/>
      <c r="L12" s="246"/>
      <c r="M12" s="246"/>
      <c r="N12" s="246"/>
      <c r="O12" s="246"/>
      <c r="P12" s="181"/>
      <c r="Q12" s="181"/>
      <c r="R12" s="181"/>
      <c r="S12" s="181"/>
      <c r="T12" s="246"/>
      <c r="U12" s="298"/>
      <c r="V12" s="278"/>
      <c r="W12" s="67" t="s">
        <v>431</v>
      </c>
      <c r="X12" s="51">
        <v>10</v>
      </c>
      <c r="Y12" s="104">
        <v>0</v>
      </c>
      <c r="Z12" s="119">
        <v>0</v>
      </c>
      <c r="AA12" s="178">
        <f t="shared" si="0"/>
        <v>0</v>
      </c>
      <c r="AB12" s="225"/>
      <c r="AC12" s="228"/>
      <c r="AD12" s="296"/>
      <c r="AE12" s="264"/>
      <c r="AF12" s="264"/>
      <c r="AG12" s="264"/>
      <c r="AH12" s="264"/>
      <c r="AI12" s="225"/>
      <c r="AJ12" s="43">
        <v>44562</v>
      </c>
      <c r="AK12" s="44">
        <v>365</v>
      </c>
      <c r="AL12" s="77" t="s">
        <v>307</v>
      </c>
      <c r="AM12" s="77">
        <v>0</v>
      </c>
      <c r="AN12" s="65">
        <v>0.1666</v>
      </c>
      <c r="AO12" s="320" t="s">
        <v>444</v>
      </c>
      <c r="AP12" s="320" t="s">
        <v>445</v>
      </c>
      <c r="AQ12" s="329" t="s">
        <v>368</v>
      </c>
      <c r="AR12" s="321"/>
      <c r="AS12" s="320"/>
      <c r="AT12" s="320"/>
      <c r="AU12" s="320"/>
      <c r="AV12" s="320"/>
      <c r="AW12" s="321"/>
      <c r="AX12" s="329" t="s">
        <v>404</v>
      </c>
      <c r="AY12" s="320"/>
      <c r="AZ12" s="329"/>
      <c r="BA12" s="334"/>
      <c r="BB12" s="334"/>
    </row>
    <row r="13" spans="1:54" ht="144" customHeight="1" x14ac:dyDescent="0.35">
      <c r="A13" s="246"/>
      <c r="B13" s="246"/>
      <c r="C13" s="246"/>
      <c r="D13" s="246"/>
      <c r="E13" s="246"/>
      <c r="F13" s="246"/>
      <c r="G13" s="246"/>
      <c r="H13" s="246"/>
      <c r="I13" s="246"/>
      <c r="J13" s="246"/>
      <c r="K13" s="246"/>
      <c r="L13" s="246"/>
      <c r="M13" s="246"/>
      <c r="N13" s="246"/>
      <c r="O13" s="246"/>
      <c r="P13" s="181"/>
      <c r="Q13" s="181"/>
      <c r="R13" s="181"/>
      <c r="S13" s="181"/>
      <c r="T13" s="246"/>
      <c r="U13" s="298"/>
      <c r="V13" s="246" t="s">
        <v>438</v>
      </c>
      <c r="W13" s="150" t="s">
        <v>432</v>
      </c>
      <c r="X13" s="51">
        <v>20</v>
      </c>
      <c r="Y13" s="104">
        <v>0</v>
      </c>
      <c r="Z13" s="157">
        <v>0</v>
      </c>
      <c r="AA13" s="178">
        <f t="shared" si="0"/>
        <v>0</v>
      </c>
      <c r="AB13" s="225"/>
      <c r="AC13" s="228"/>
      <c r="AD13" s="296"/>
      <c r="AE13" s="264"/>
      <c r="AF13" s="264"/>
      <c r="AG13" s="264"/>
      <c r="AH13" s="264"/>
      <c r="AI13" s="225"/>
      <c r="AJ13" s="43">
        <v>44562</v>
      </c>
      <c r="AK13" s="44">
        <v>365</v>
      </c>
      <c r="AL13" s="77" t="s">
        <v>307</v>
      </c>
      <c r="AM13" s="77">
        <v>0</v>
      </c>
      <c r="AN13" s="65">
        <v>0.1666</v>
      </c>
      <c r="AO13" s="320" t="s">
        <v>444</v>
      </c>
      <c r="AP13" s="320" t="s">
        <v>445</v>
      </c>
      <c r="AQ13" s="329" t="s">
        <v>368</v>
      </c>
      <c r="AR13" s="321"/>
      <c r="AS13" s="320"/>
      <c r="AT13" s="320"/>
      <c r="AU13" s="320"/>
      <c r="AV13" s="320"/>
      <c r="AW13" s="321"/>
      <c r="AX13" s="329" t="s">
        <v>404</v>
      </c>
      <c r="AY13" s="320"/>
      <c r="AZ13" s="329"/>
      <c r="BA13" s="334"/>
      <c r="BB13" s="334"/>
    </row>
    <row r="14" spans="1:54" ht="118.5" customHeight="1" x14ac:dyDescent="0.35">
      <c r="A14" s="246"/>
      <c r="B14" s="246"/>
      <c r="C14" s="246"/>
      <c r="D14" s="246"/>
      <c r="E14" s="246"/>
      <c r="F14" s="246"/>
      <c r="G14" s="246"/>
      <c r="H14" s="246"/>
      <c r="I14" s="246"/>
      <c r="J14" s="246"/>
      <c r="K14" s="246"/>
      <c r="L14" s="246"/>
      <c r="M14" s="246"/>
      <c r="N14" s="246"/>
      <c r="O14" s="246"/>
      <c r="P14" s="181"/>
      <c r="Q14" s="181"/>
      <c r="R14" s="181"/>
      <c r="S14" s="181"/>
      <c r="T14" s="246"/>
      <c r="U14" s="298"/>
      <c r="V14" s="246"/>
      <c r="W14" s="67" t="s">
        <v>433</v>
      </c>
      <c r="X14" s="51">
        <v>20</v>
      </c>
      <c r="Y14" s="104">
        <v>0</v>
      </c>
      <c r="Z14" s="157">
        <v>0</v>
      </c>
      <c r="AA14" s="178">
        <f t="shared" si="0"/>
        <v>0</v>
      </c>
      <c r="AB14" s="225"/>
      <c r="AC14" s="229"/>
      <c r="AD14" s="297"/>
      <c r="AE14" s="265"/>
      <c r="AF14" s="265"/>
      <c r="AG14" s="265"/>
      <c r="AH14" s="265"/>
      <c r="AI14" s="225"/>
      <c r="AJ14" s="43">
        <v>44562</v>
      </c>
      <c r="AK14" s="44">
        <v>365</v>
      </c>
      <c r="AL14" s="77" t="s">
        <v>307</v>
      </c>
      <c r="AM14" s="77">
        <v>0</v>
      </c>
      <c r="AN14" s="65">
        <v>0.1666</v>
      </c>
      <c r="AO14" s="320" t="s">
        <v>444</v>
      </c>
      <c r="AP14" s="320" t="s">
        <v>445</v>
      </c>
      <c r="AQ14" s="329" t="s">
        <v>368</v>
      </c>
      <c r="AR14" s="321"/>
      <c r="AS14" s="320"/>
      <c r="AT14" s="320"/>
      <c r="AU14" s="320"/>
      <c r="AV14" s="320"/>
      <c r="AW14" s="321"/>
      <c r="AX14" s="329" t="s">
        <v>404</v>
      </c>
      <c r="AY14" s="320"/>
      <c r="AZ14" s="329"/>
      <c r="BA14" s="334"/>
      <c r="BB14" s="334"/>
    </row>
    <row r="15" spans="1:54" ht="319" x14ac:dyDescent="0.35">
      <c r="A15" s="246"/>
      <c r="B15" s="246"/>
      <c r="C15" s="246"/>
      <c r="D15" s="246"/>
      <c r="E15" s="246"/>
      <c r="F15" s="246"/>
      <c r="G15" s="246"/>
      <c r="H15" s="246"/>
      <c r="I15" s="246"/>
      <c r="J15" s="246"/>
      <c r="K15" s="246"/>
      <c r="L15" s="246"/>
      <c r="M15" s="246"/>
      <c r="N15" s="246"/>
      <c r="O15" s="246"/>
      <c r="P15" s="179"/>
      <c r="Q15" s="179"/>
      <c r="R15" s="179"/>
      <c r="S15" s="179"/>
      <c r="T15" s="57" t="s">
        <v>418</v>
      </c>
      <c r="U15" s="50" t="s">
        <v>422</v>
      </c>
      <c r="V15" s="57" t="s">
        <v>436</v>
      </c>
      <c r="W15" s="122" t="s">
        <v>435</v>
      </c>
      <c r="X15" s="51">
        <v>1</v>
      </c>
      <c r="Y15" s="104">
        <v>0</v>
      </c>
      <c r="Z15" s="126">
        <v>0</v>
      </c>
      <c r="AA15" s="178">
        <f t="shared" si="0"/>
        <v>0</v>
      </c>
      <c r="AB15" s="225"/>
      <c r="AC15" s="161"/>
      <c r="AD15" s="162"/>
      <c r="AE15" s="167"/>
      <c r="AF15" s="161"/>
      <c r="AG15" s="167"/>
      <c r="AH15" s="161"/>
      <c r="AI15" s="225"/>
      <c r="AJ15" s="43">
        <v>44562</v>
      </c>
      <c r="AK15" s="44">
        <v>365</v>
      </c>
      <c r="AL15" s="77" t="s">
        <v>307</v>
      </c>
      <c r="AM15" s="115">
        <v>0</v>
      </c>
      <c r="AN15" s="80">
        <v>1</v>
      </c>
      <c r="AO15" s="77" t="s">
        <v>444</v>
      </c>
      <c r="AP15" s="77" t="s">
        <v>573</v>
      </c>
      <c r="AQ15" s="49" t="s">
        <v>368</v>
      </c>
      <c r="AR15" s="154">
        <v>1500000000</v>
      </c>
      <c r="AS15" s="77" t="s">
        <v>457</v>
      </c>
      <c r="AT15" s="77" t="s">
        <v>461</v>
      </c>
      <c r="AU15" s="77" t="s">
        <v>405</v>
      </c>
      <c r="AV15" s="77" t="s">
        <v>462</v>
      </c>
      <c r="AW15" s="77">
        <v>0</v>
      </c>
      <c r="AX15" s="85" t="s">
        <v>404</v>
      </c>
      <c r="AY15" s="77" t="s">
        <v>453</v>
      </c>
      <c r="AZ15" s="87">
        <v>44593</v>
      </c>
      <c r="BA15" s="77" t="s">
        <v>509</v>
      </c>
      <c r="BB15" s="77" t="s">
        <v>570</v>
      </c>
    </row>
    <row r="16" spans="1:54" ht="108" customHeight="1" x14ac:dyDescent="0.35">
      <c r="A16" s="246"/>
      <c r="B16" s="246"/>
      <c r="C16" s="246"/>
      <c r="D16" s="246"/>
      <c r="E16" s="246"/>
      <c r="F16" s="246"/>
      <c r="G16" s="246"/>
      <c r="H16" s="246"/>
      <c r="I16" s="246"/>
      <c r="J16" s="246"/>
      <c r="K16" s="246"/>
      <c r="L16" s="246"/>
      <c r="M16" s="246"/>
      <c r="N16" s="246"/>
      <c r="O16" s="246"/>
      <c r="P16" s="181"/>
      <c r="Q16" s="181"/>
      <c r="R16" s="181"/>
      <c r="S16" s="181"/>
      <c r="T16" s="298" t="s">
        <v>419</v>
      </c>
      <c r="U16" s="246" t="s">
        <v>454</v>
      </c>
      <c r="V16" s="55" t="s">
        <v>439</v>
      </c>
      <c r="W16" s="122" t="s">
        <v>440</v>
      </c>
      <c r="X16" s="51">
        <v>7</v>
      </c>
      <c r="Y16" s="104">
        <v>5</v>
      </c>
      <c r="Z16" s="119">
        <v>0</v>
      </c>
      <c r="AA16" s="178">
        <f t="shared" si="0"/>
        <v>0.7142857142857143</v>
      </c>
      <c r="AB16" s="225"/>
      <c r="AC16" s="323"/>
      <c r="AD16" s="260"/>
      <c r="AE16" s="263"/>
      <c r="AF16" s="323"/>
      <c r="AG16" s="263"/>
      <c r="AH16" s="323"/>
      <c r="AI16" s="225"/>
      <c r="AJ16" s="43">
        <v>44562</v>
      </c>
      <c r="AK16" s="44">
        <v>365</v>
      </c>
      <c r="AL16" s="77" t="s">
        <v>307</v>
      </c>
      <c r="AM16" s="77" t="s">
        <v>307</v>
      </c>
      <c r="AN16" s="66">
        <v>0.33329999999999999</v>
      </c>
      <c r="AO16" s="320" t="s">
        <v>444</v>
      </c>
      <c r="AP16" s="320" t="s">
        <v>573</v>
      </c>
      <c r="AQ16" s="320" t="s">
        <v>368</v>
      </c>
      <c r="AR16" s="322">
        <v>1463476709</v>
      </c>
      <c r="AS16" s="320" t="s">
        <v>457</v>
      </c>
      <c r="AT16" s="320" t="s">
        <v>463</v>
      </c>
      <c r="AU16" s="320" t="s">
        <v>405</v>
      </c>
      <c r="AV16" s="320" t="s">
        <v>464</v>
      </c>
      <c r="AW16" s="322">
        <v>955441161</v>
      </c>
      <c r="AX16" s="329" t="s">
        <v>404</v>
      </c>
      <c r="AY16" s="320" t="s">
        <v>455</v>
      </c>
      <c r="AZ16" s="335">
        <v>44593</v>
      </c>
      <c r="BA16" s="141" t="s">
        <v>508</v>
      </c>
      <c r="BB16" s="150" t="s">
        <v>570</v>
      </c>
    </row>
    <row r="17" spans="1:54" ht="163.5" customHeight="1" x14ac:dyDescent="0.35">
      <c r="A17" s="246"/>
      <c r="B17" s="246"/>
      <c r="C17" s="246"/>
      <c r="D17" s="246"/>
      <c r="E17" s="246"/>
      <c r="F17" s="246"/>
      <c r="G17" s="246"/>
      <c r="H17" s="246"/>
      <c r="I17" s="246"/>
      <c r="J17" s="246"/>
      <c r="K17" s="246"/>
      <c r="L17" s="246"/>
      <c r="M17" s="246"/>
      <c r="N17" s="246"/>
      <c r="O17" s="246"/>
      <c r="P17" s="181"/>
      <c r="Q17" s="181"/>
      <c r="R17" s="181"/>
      <c r="S17" s="181"/>
      <c r="T17" s="298"/>
      <c r="U17" s="246"/>
      <c r="V17" s="246" t="s">
        <v>443</v>
      </c>
      <c r="W17" s="78" t="s">
        <v>442</v>
      </c>
      <c r="X17" s="51">
        <v>1</v>
      </c>
      <c r="Y17" s="104">
        <v>0</v>
      </c>
      <c r="Z17" s="149">
        <v>0</v>
      </c>
      <c r="AA17" s="178">
        <f t="shared" si="0"/>
        <v>0</v>
      </c>
      <c r="AB17" s="225"/>
      <c r="AC17" s="324"/>
      <c r="AD17" s="261"/>
      <c r="AE17" s="264"/>
      <c r="AF17" s="324"/>
      <c r="AG17" s="264"/>
      <c r="AH17" s="324"/>
      <c r="AI17" s="225"/>
      <c r="AJ17" s="43">
        <v>44562</v>
      </c>
      <c r="AK17" s="44">
        <v>365</v>
      </c>
      <c r="AL17" s="77" t="s">
        <v>307</v>
      </c>
      <c r="AM17" s="77">
        <v>0</v>
      </c>
      <c r="AN17" s="66">
        <v>0.33329999999999999</v>
      </c>
      <c r="AO17" s="320" t="s">
        <v>444</v>
      </c>
      <c r="AP17" s="320" t="s">
        <v>445</v>
      </c>
      <c r="AQ17" s="320" t="s">
        <v>368</v>
      </c>
      <c r="AR17" s="322"/>
      <c r="AS17" s="320"/>
      <c r="AT17" s="320"/>
      <c r="AU17" s="320"/>
      <c r="AV17" s="320"/>
      <c r="AW17" s="322"/>
      <c r="AX17" s="329" t="s">
        <v>404</v>
      </c>
      <c r="AY17" s="320"/>
      <c r="AZ17" s="329"/>
      <c r="BA17" s="141"/>
      <c r="BB17" s="150" t="s">
        <v>570</v>
      </c>
    </row>
    <row r="18" spans="1:54" ht="101.5" x14ac:dyDescent="0.35">
      <c r="A18" s="246"/>
      <c r="B18" s="246"/>
      <c r="C18" s="246"/>
      <c r="D18" s="246"/>
      <c r="E18" s="246"/>
      <c r="F18" s="246"/>
      <c r="G18" s="246"/>
      <c r="H18" s="246"/>
      <c r="I18" s="246"/>
      <c r="J18" s="246"/>
      <c r="K18" s="246"/>
      <c r="L18" s="246"/>
      <c r="M18" s="246"/>
      <c r="N18" s="246"/>
      <c r="O18" s="246"/>
      <c r="P18" s="181"/>
      <c r="Q18" s="181"/>
      <c r="R18" s="181"/>
      <c r="S18" s="181"/>
      <c r="T18" s="298"/>
      <c r="U18" s="246"/>
      <c r="V18" s="246"/>
      <c r="W18" s="50" t="s">
        <v>441</v>
      </c>
      <c r="X18" s="51">
        <v>5</v>
      </c>
      <c r="Y18" s="104">
        <v>5</v>
      </c>
      <c r="Z18" s="126">
        <v>7</v>
      </c>
      <c r="AA18" s="178">
        <v>1</v>
      </c>
      <c r="AB18" s="226"/>
      <c r="AC18" s="325"/>
      <c r="AD18" s="262"/>
      <c r="AE18" s="265"/>
      <c r="AF18" s="325"/>
      <c r="AG18" s="265"/>
      <c r="AH18" s="325"/>
      <c r="AI18" s="226"/>
      <c r="AJ18" s="43">
        <v>44562</v>
      </c>
      <c r="AK18" s="44">
        <v>365</v>
      </c>
      <c r="AL18" s="77" t="s">
        <v>307</v>
      </c>
      <c r="AM18" s="77">
        <f>1601+56+30+452</f>
        <v>2139</v>
      </c>
      <c r="AN18" s="66">
        <v>0.33329999999999999</v>
      </c>
      <c r="AO18" s="320" t="s">
        <v>444</v>
      </c>
      <c r="AP18" s="320" t="s">
        <v>445</v>
      </c>
      <c r="AQ18" s="320" t="s">
        <v>368</v>
      </c>
      <c r="AR18" s="322"/>
      <c r="AS18" s="320"/>
      <c r="AT18" s="320"/>
      <c r="AU18" s="320"/>
      <c r="AV18" s="320"/>
      <c r="AW18" s="322"/>
      <c r="AX18" s="329" t="s">
        <v>404</v>
      </c>
      <c r="AY18" s="320"/>
      <c r="AZ18" s="329"/>
      <c r="BA18" s="141" t="s">
        <v>572</v>
      </c>
      <c r="BB18" s="141" t="s">
        <v>569</v>
      </c>
    </row>
    <row r="19" spans="1:54" x14ac:dyDescent="0.35">
      <c r="AG19" s="3">
        <f>AG3</f>
        <v>5771526313</v>
      </c>
      <c r="AH19" s="3">
        <f>AH3</f>
        <v>2321169381</v>
      </c>
    </row>
  </sheetData>
  <mergeCells count="84">
    <mergeCell ref="AC9:AC14"/>
    <mergeCell ref="AD9:AD14"/>
    <mergeCell ref="AE9:AE14"/>
    <mergeCell ref="AF9:AF14"/>
    <mergeCell ref="AG9:AG14"/>
    <mergeCell ref="AH9:AH14"/>
    <mergeCell ref="AI3:AI18"/>
    <mergeCell ref="AF3:AF8"/>
    <mergeCell ref="AG3:AG8"/>
    <mergeCell ref="AH3:AH8"/>
    <mergeCell ref="AH16:AH18"/>
    <mergeCell ref="BB9:BB14"/>
    <mergeCell ref="AU16:AU18"/>
    <mergeCell ref="AW3:AW8"/>
    <mergeCell ref="AW16:AW18"/>
    <mergeCell ref="AW9:AW14"/>
    <mergeCell ref="BA9:BA14"/>
    <mergeCell ref="AX16:AX18"/>
    <mergeCell ref="AY16:AY18"/>
    <mergeCell ref="AZ16:AZ18"/>
    <mergeCell ref="AX3:AX8"/>
    <mergeCell ref="AY3:AY8"/>
    <mergeCell ref="AZ3:AZ8"/>
    <mergeCell ref="AX9:AX14"/>
    <mergeCell ref="AY9:AY14"/>
    <mergeCell ref="AZ9:AZ14"/>
    <mergeCell ref="E1:AP1"/>
    <mergeCell ref="V9:V12"/>
    <mergeCell ref="U9:U14"/>
    <mergeCell ref="U16:U18"/>
    <mergeCell ref="AO3:AO8"/>
    <mergeCell ref="AO9:AO14"/>
    <mergeCell ref="AO16:AO18"/>
    <mergeCell ref="V13:V14"/>
    <mergeCell ref="H3:H18"/>
    <mergeCell ref="L3:L18"/>
    <mergeCell ref="V17:V18"/>
    <mergeCell ref="N3:N18"/>
    <mergeCell ref="O3:O18"/>
    <mergeCell ref="AC3:AC8"/>
    <mergeCell ref="AD3:AD8"/>
    <mergeCell ref="AE3:AE8"/>
    <mergeCell ref="V3:V8"/>
    <mergeCell ref="AR3:AR8"/>
    <mergeCell ref="A3:A18"/>
    <mergeCell ref="C3:C18"/>
    <mergeCell ref="D3:D18"/>
    <mergeCell ref="E3:E18"/>
    <mergeCell ref="F3:F18"/>
    <mergeCell ref="AQ3:AQ8"/>
    <mergeCell ref="AP3:AP8"/>
    <mergeCell ref="AQ9:AQ14"/>
    <mergeCell ref="AP9:AP14"/>
    <mergeCell ref="AQ16:AQ18"/>
    <mergeCell ref="AP16:AP18"/>
    <mergeCell ref="AC16:AC18"/>
    <mergeCell ref="AD16:AD18"/>
    <mergeCell ref="AE16:AE18"/>
    <mergeCell ref="M3:M18"/>
    <mergeCell ref="T9:T14"/>
    <mergeCell ref="T16:T18"/>
    <mergeCell ref="T3:T8"/>
    <mergeCell ref="U3:U8"/>
    <mergeCell ref="B3:B18"/>
    <mergeCell ref="G3:G18"/>
    <mergeCell ref="J3:J18"/>
    <mergeCell ref="K3:K18"/>
    <mergeCell ref="I3:I18"/>
    <mergeCell ref="AB3:AB18"/>
    <mergeCell ref="AS3:AS8"/>
    <mergeCell ref="AT3:AT8"/>
    <mergeCell ref="AV3:AV8"/>
    <mergeCell ref="AR9:AR14"/>
    <mergeCell ref="AS9:AS14"/>
    <mergeCell ref="AT9:AT14"/>
    <mergeCell ref="AV9:AV14"/>
    <mergeCell ref="AU3:AU8"/>
    <mergeCell ref="AU9:AU14"/>
    <mergeCell ref="AR16:AR18"/>
    <mergeCell ref="AS16:AS18"/>
    <mergeCell ref="AT16:AT18"/>
    <mergeCell ref="AV16:AV18"/>
    <mergeCell ref="AF16:AF18"/>
    <mergeCell ref="AG16:AG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SICC 2022</vt:lpstr>
      <vt:lpstr>PISCC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LUZ  MARINA SEVERICHE MONROY</cp:lastModifiedBy>
  <dcterms:created xsi:type="dcterms:W3CDTF">2021-10-19T17:22:30Z</dcterms:created>
  <dcterms:modified xsi:type="dcterms:W3CDTF">2022-07-15T17:33:14Z</dcterms:modified>
</cp:coreProperties>
</file>