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C28AB4F8-2756-44F8-AE0D-353F8E3F1F02}" xr6:coauthVersionLast="47" xr6:coauthVersionMax="47" xr10:uidLastSave="{00000000-0000-0000-0000-000000000000}"/>
  <bookViews>
    <workbookView xWindow="-110" yWindow="-110" windowWidth="19420" windowHeight="10420" tabRatio="591" xr2:uid="{00000000-000D-0000-FFFF-FFFF00000000}"/>
  </bookViews>
  <sheets>
    <sheet name="Seguimiemto DADIS Junio 2022" sheetId="4" r:id="rId1"/>
  </sheets>
  <externalReferences>
    <externalReference r:id="rId2"/>
  </externalReferences>
  <definedNames>
    <definedName name="_xlnm._FilterDatabase" localSheetId="0" hidden="1">'Seguimiemto DADIS Junio 2022'!$A$2:$BG$2</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77" i="4" l="1"/>
  <c r="BD177" i="4"/>
  <c r="BF177" i="4" s="1"/>
  <c r="BF100" i="4"/>
  <c r="BF168" i="4"/>
  <c r="BF162" i="4"/>
  <c r="BF139" i="4"/>
  <c r="BF122" i="4"/>
  <c r="BF106" i="4"/>
  <c r="BF79" i="4"/>
  <c r="BF67" i="4"/>
  <c r="BF54" i="4"/>
  <c r="BF3" i="4"/>
  <c r="AS172" i="4" l="1"/>
  <c r="AS167" i="4"/>
  <c r="AS161" i="4"/>
  <c r="AS157" i="4"/>
  <c r="AS152" i="4"/>
  <c r="AS148" i="4"/>
  <c r="AS140" i="4"/>
  <c r="AS141" i="4"/>
  <c r="AS139" i="4"/>
  <c r="AS135" i="4"/>
  <c r="AS136" i="4"/>
  <c r="AS134" i="4"/>
  <c r="AS132" i="4"/>
  <c r="AS131" i="4"/>
  <c r="AS129" i="4"/>
  <c r="AS130" i="4"/>
  <c r="AS128" i="4"/>
  <c r="AS127" i="4"/>
  <c r="AS119" i="4"/>
  <c r="AS117" i="4"/>
  <c r="AS118" i="4"/>
  <c r="AS115" i="4"/>
  <c r="AS116" i="4"/>
  <c r="AS113" i="4"/>
  <c r="AS114" i="4"/>
  <c r="AS112" i="4"/>
  <c r="AS111" i="4"/>
  <c r="AS105" i="4"/>
  <c r="AS99" i="4"/>
  <c r="AS94" i="4"/>
  <c r="AS91" i="4"/>
  <c r="AS84" i="4"/>
  <c r="AS85" i="4"/>
  <c r="AS86" i="4"/>
  <c r="AS83" i="4"/>
  <c r="AS82" i="4"/>
  <c r="AS81" i="4"/>
  <c r="AS80" i="4"/>
  <c r="AS79" i="4"/>
  <c r="AS78" i="4"/>
  <c r="AS74" i="4"/>
  <c r="AS73" i="4"/>
  <c r="AS75" i="4" s="1"/>
  <c r="AS70" i="4"/>
  <c r="AS71" i="4"/>
  <c r="AS68" i="4"/>
  <c r="AS69" i="4"/>
  <c r="AS67" i="4"/>
  <c r="AS65" i="4"/>
  <c r="AS60" i="4"/>
  <c r="AS61" i="4"/>
  <c r="AS59" i="4"/>
  <c r="AS58" i="4"/>
  <c r="AS55" i="4"/>
  <c r="AS56" i="4"/>
  <c r="AS57" i="4"/>
  <c r="AS54" i="4"/>
  <c r="AS62" i="4" s="1"/>
  <c r="AS52" i="4"/>
  <c r="AS47" i="4"/>
  <c r="AS45" i="4"/>
  <c r="AS40" i="4"/>
  <c r="AS39" i="4"/>
  <c r="AS38" i="4"/>
  <c r="AS37" i="4"/>
  <c r="AS36" i="4"/>
  <c r="AS30" i="4"/>
  <c r="AS28" i="4"/>
  <c r="AS26" i="4"/>
  <c r="AS32" i="4" s="1"/>
  <c r="AS22" i="4"/>
  <c r="AS15" i="4"/>
  <c r="AS10" i="4"/>
  <c r="AS5" i="4"/>
  <c r="AS3" i="4"/>
  <c r="AS41" i="4" l="1"/>
  <c r="AS87" i="4"/>
  <c r="AS72" i="4"/>
  <c r="AS120" i="4"/>
  <c r="AS138" i="4"/>
  <c r="AS142" i="4"/>
  <c r="AS16" i="4"/>
  <c r="AD172" i="4" l="1"/>
  <c r="AE172" i="4" s="1"/>
  <c r="AE171" i="4"/>
  <c r="AD170" i="4"/>
  <c r="AE170" i="4" s="1"/>
  <c r="AC170" i="4"/>
  <c r="AB169" i="4"/>
  <c r="AC169" i="4" s="1"/>
  <c r="AB164" i="4"/>
  <c r="AC164" i="4" s="1"/>
  <c r="O163" i="4"/>
  <c r="AE163" i="4" s="1"/>
  <c r="AE167" i="4" s="1"/>
  <c r="AB163" i="4"/>
  <c r="AC163" i="4" s="1"/>
  <c r="AC167" i="4" s="1"/>
  <c r="AB162" i="4"/>
  <c r="AD162" i="4" s="1"/>
  <c r="AD159" i="4"/>
  <c r="AD158" i="4"/>
  <c r="AE158" i="4" s="1"/>
  <c r="AD156" i="4"/>
  <c r="AB155" i="4"/>
  <c r="AC155" i="4" s="1"/>
  <c r="AB153" i="4"/>
  <c r="AD153" i="4" s="1"/>
  <c r="AE153" i="4" s="1"/>
  <c r="AD150" i="4"/>
  <c r="AB149" i="4"/>
  <c r="AC149" i="4" s="1"/>
  <c r="AB143" i="4"/>
  <c r="AD143" i="4" s="1"/>
  <c r="O141" i="4"/>
  <c r="AC141" i="4"/>
  <c r="AB141" i="4"/>
  <c r="AD141" i="4" s="1"/>
  <c r="AB140" i="4"/>
  <c r="AD140" i="4" s="1"/>
  <c r="O140" i="4"/>
  <c r="O139" i="4"/>
  <c r="AB139" i="4"/>
  <c r="AD139" i="4" s="1"/>
  <c r="AE139" i="4" s="1"/>
  <c r="AE121" i="4"/>
  <c r="AB121" i="4"/>
  <c r="AC121" i="4" s="1"/>
  <c r="AB136" i="4"/>
  <c r="AC136" i="4" s="1"/>
  <c r="AB134" i="4"/>
  <c r="AC134" i="4" s="1"/>
  <c r="O134" i="4"/>
  <c r="AB133" i="4"/>
  <c r="O131" i="4"/>
  <c r="AB131" i="4"/>
  <c r="AD131" i="4" s="1"/>
  <c r="AB130" i="4"/>
  <c r="AC130" i="4" s="1"/>
  <c r="O130" i="4"/>
  <c r="AE129" i="4"/>
  <c r="AB129" i="4"/>
  <c r="AD129" i="4" s="1"/>
  <c r="AD128" i="4"/>
  <c r="O112" i="4"/>
  <c r="AB112" i="4"/>
  <c r="AC112" i="4" s="1"/>
  <c r="AB109" i="4"/>
  <c r="AD109" i="4" s="1"/>
  <c r="AD108" i="4"/>
  <c r="AB107" i="4"/>
  <c r="AC107" i="4" s="1"/>
  <c r="O106" i="4"/>
  <c r="AB106" i="4"/>
  <c r="AD106" i="4" s="1"/>
  <c r="AE106" i="4" s="1"/>
  <c r="AB104" i="4"/>
  <c r="AD104" i="4" s="1"/>
  <c r="AE104" i="4" s="1"/>
  <c r="AB103" i="4"/>
  <c r="AD103" i="4" s="1"/>
  <c r="O103" i="4"/>
  <c r="AD102" i="4"/>
  <c r="AE102" i="4" s="1"/>
  <c r="AD101" i="4"/>
  <c r="AE101" i="4" s="1"/>
  <c r="AB100" i="4"/>
  <c r="AD100" i="4" s="1"/>
  <c r="AE100" i="4" s="1"/>
  <c r="AD97" i="4"/>
  <c r="AB97" i="4"/>
  <c r="O97" i="4"/>
  <c r="AB96" i="4"/>
  <c r="AD96" i="4" s="1"/>
  <c r="O96" i="4"/>
  <c r="AA95" i="4"/>
  <c r="AB95" i="4" s="1"/>
  <c r="AB92" i="4"/>
  <c r="AC92" i="4" s="1"/>
  <c r="O92" i="4"/>
  <c r="AB93" i="4"/>
  <c r="AC93" i="4" s="1"/>
  <c r="O90" i="4"/>
  <c r="AB90" i="4"/>
  <c r="AD90" i="4" s="1"/>
  <c r="AE90" i="4" s="1"/>
  <c r="AB89" i="4"/>
  <c r="AD89" i="4" s="1"/>
  <c r="AE89" i="4" s="1"/>
  <c r="AB88" i="4"/>
  <c r="AD88" i="4" s="1"/>
  <c r="AB86" i="4"/>
  <c r="AD86" i="4" s="1"/>
  <c r="AB85" i="4"/>
  <c r="AD85" i="4" s="1"/>
  <c r="AB84" i="4"/>
  <c r="AD84" i="4" s="1"/>
  <c r="AB83" i="4"/>
  <c r="AD83" i="4" s="1"/>
  <c r="O82" i="4"/>
  <c r="AB82" i="4"/>
  <c r="O81" i="4"/>
  <c r="AB81" i="4"/>
  <c r="AC81" i="4" s="1"/>
  <c r="O80" i="4"/>
  <c r="AB80" i="4"/>
  <c r="AD80" i="4" s="1"/>
  <c r="AD77" i="4"/>
  <c r="AB77" i="4"/>
  <c r="O77" i="4"/>
  <c r="O73" i="4"/>
  <c r="AB73" i="4"/>
  <c r="O68" i="4"/>
  <c r="AB68" i="4"/>
  <c r="AC68" i="4" s="1"/>
  <c r="AB63" i="4"/>
  <c r="AC63" i="4" s="1"/>
  <c r="AD57" i="4"/>
  <c r="AE57" i="4" s="1"/>
  <c r="AB56" i="4"/>
  <c r="AC56" i="4" s="1"/>
  <c r="AE55" i="4"/>
  <c r="AB55" i="4"/>
  <c r="AC55" i="4" s="1"/>
  <c r="AB54" i="4"/>
  <c r="O49" i="4"/>
  <c r="AB49" i="4"/>
  <c r="AD49" i="4" s="1"/>
  <c r="AB48" i="4"/>
  <c r="AC48" i="4" s="1"/>
  <c r="O42" i="4"/>
  <c r="AB42" i="4"/>
  <c r="AD42" i="4" s="1"/>
  <c r="O37" i="4"/>
  <c r="AB37" i="4"/>
  <c r="AB33" i="4"/>
  <c r="AD33" i="4" s="1"/>
  <c r="AE33" i="4" s="1"/>
  <c r="AB24" i="4"/>
  <c r="AB23" i="4"/>
  <c r="AD19" i="4"/>
  <c r="AB19" i="4"/>
  <c r="AD12" i="4"/>
  <c r="AB12" i="4"/>
  <c r="O12" i="4"/>
  <c r="AB11" i="4"/>
  <c r="AB4" i="4"/>
  <c r="AD4" i="4" s="1"/>
  <c r="AE77" i="4" l="1"/>
  <c r="AD81" i="4"/>
  <c r="AE97" i="4"/>
  <c r="AC139" i="4"/>
  <c r="AC161" i="4" s="1"/>
  <c r="AC140" i="4"/>
  <c r="AE49" i="4"/>
  <c r="AE80" i="4"/>
  <c r="AE96" i="4"/>
  <c r="AE103" i="4"/>
  <c r="AE105" i="4" s="1"/>
  <c r="AC49" i="4"/>
  <c r="AC80" i="4"/>
  <c r="AC89" i="4"/>
  <c r="AC90" i="4"/>
  <c r="AC96" i="4"/>
  <c r="AC103" i="4"/>
  <c r="AC105" i="4" s="1"/>
  <c r="AC104" i="4"/>
  <c r="AC106" i="4"/>
  <c r="AE131" i="4"/>
  <c r="AE140" i="4"/>
  <c r="AD37" i="4"/>
  <c r="AE37" i="4" s="1"/>
  <c r="AC37" i="4"/>
  <c r="AD73" i="4"/>
  <c r="AE73" i="4" s="1"/>
  <c r="AC73" i="4"/>
  <c r="AC78" i="4" s="1"/>
  <c r="AD82" i="4"/>
  <c r="AE82" i="4" s="1"/>
  <c r="AC82" i="4"/>
  <c r="AD95" i="4"/>
  <c r="AE95" i="4" s="1"/>
  <c r="AC95" i="4"/>
  <c r="AD54" i="4"/>
  <c r="AE54" i="4" s="1"/>
  <c r="AC54" i="4"/>
  <c r="AC66" i="4" s="1"/>
  <c r="AD93" i="4"/>
  <c r="AE93" i="4" s="1"/>
  <c r="AC120" i="4"/>
  <c r="AC138" i="4"/>
  <c r="AD107" i="4"/>
  <c r="AD112" i="4"/>
  <c r="AE112" i="4" s="1"/>
  <c r="AE120" i="4" s="1"/>
  <c r="AD130" i="4"/>
  <c r="AE130" i="4" s="1"/>
  <c r="AD134" i="4"/>
  <c r="AE134" i="4" s="1"/>
  <c r="AD136" i="4"/>
  <c r="AE136" i="4" s="1"/>
  <c r="AE141" i="4"/>
  <c r="AD149" i="4"/>
  <c r="AE149" i="4" s="1"/>
  <c r="AD155" i="4"/>
  <c r="AE155" i="4" s="1"/>
  <c r="AD169" i="4"/>
  <c r="AE169" i="4" s="1"/>
  <c r="AE173" i="4" s="1"/>
  <c r="AE174" i="4" s="1"/>
  <c r="AE42" i="4"/>
  <c r="AE53" i="4" s="1"/>
  <c r="AE81" i="4"/>
  <c r="AE98" i="4" s="1"/>
  <c r="AD92" i="4"/>
  <c r="AE92" i="4" s="1"/>
  <c r="AD56" i="4"/>
  <c r="AE56" i="4" s="1"/>
  <c r="AE66" i="4" s="1"/>
  <c r="AD63" i="4"/>
  <c r="AD68" i="4"/>
  <c r="AE68" i="4" s="1"/>
  <c r="AC42" i="4"/>
  <c r="BI132" i="4"/>
  <c r="AQ76" i="4"/>
  <c r="AS6" i="4"/>
  <c r="AS4" i="4"/>
  <c r="AS9" i="4" s="1"/>
  <c r="AS177" i="4" s="1"/>
  <c r="AA171" i="4"/>
  <c r="Z171" i="4"/>
  <c r="AQ169" i="4"/>
  <c r="AQ171" i="4"/>
  <c r="AQ149" i="4"/>
  <c r="AA144" i="4"/>
  <c r="AB144" i="4" s="1"/>
  <c r="Z144" i="4"/>
  <c r="AR46" i="4"/>
  <c r="AQ162" i="4"/>
  <c r="AQ160" i="4"/>
  <c r="AQ129" i="4"/>
  <c r="AQ119" i="4"/>
  <c r="AQ118" i="4"/>
  <c r="AQ117" i="4"/>
  <c r="AQ116" i="4"/>
  <c r="AQ115" i="4"/>
  <c r="AQ114" i="4"/>
  <c r="AQ113" i="4"/>
  <c r="AQ112" i="4"/>
  <c r="AQ107" i="4"/>
  <c r="AQ106" i="4"/>
  <c r="AQ89" i="4"/>
  <c r="AQ86" i="4"/>
  <c r="AQ85" i="4"/>
  <c r="AQ84" i="4"/>
  <c r="AQ83" i="4"/>
  <c r="AQ80" i="4"/>
  <c r="AQ79" i="4"/>
  <c r="AQ63" i="4"/>
  <c r="AQ50" i="4"/>
  <c r="AQ46" i="4"/>
  <c r="AQ40" i="4"/>
  <c r="AQ39" i="4"/>
  <c r="AQ38" i="4"/>
  <c r="AQ37" i="4"/>
  <c r="P4" i="4"/>
  <c r="Z3" i="4"/>
  <c r="AB3" i="4" s="1"/>
  <c r="AD3" i="4" s="1"/>
  <c r="AC53" i="4" l="1"/>
  <c r="AE78" i="4"/>
  <c r="AE138" i="4"/>
  <c r="AE177" i="4" s="1"/>
  <c r="AC98" i="4"/>
  <c r="AE161" i="4"/>
  <c r="AB171" i="4"/>
  <c r="AC171" i="4" s="1"/>
  <c r="AC173" i="4" s="1"/>
  <c r="AC174" i="4" s="1"/>
  <c r="AC177" i="4" l="1"/>
</calcChain>
</file>

<file path=xl/sharedStrings.xml><?xml version="1.0" encoding="utf-8"?>
<sst xmlns="http://schemas.openxmlformats.org/spreadsheetml/2006/main" count="1792" uniqueCount="840">
  <si>
    <t>Observación</t>
  </si>
  <si>
    <t>¿Requiere contratación?</t>
  </si>
  <si>
    <t>Código Presupuestal</t>
  </si>
  <si>
    <t>Rubro Presupuestal</t>
  </si>
  <si>
    <t>Fuente Presupuestal</t>
  </si>
  <si>
    <t>Fuente de Financiación</t>
  </si>
  <si>
    <t>Nombre del Responable</t>
  </si>
  <si>
    <t xml:space="preserve">Dependencia Responsable </t>
  </si>
  <si>
    <t xml:space="preserve">Fecha de inicio </t>
  </si>
  <si>
    <t>Objetivo del Proyecto</t>
  </si>
  <si>
    <t>PROYECTO</t>
  </si>
  <si>
    <t>PROGRAMACIÓN META A 2022</t>
  </si>
  <si>
    <t>Descripción de la Meta Producto 2020-2023</t>
  </si>
  <si>
    <t>Indicador de Producto</t>
  </si>
  <si>
    <t xml:space="preserve">PROGRAMA </t>
  </si>
  <si>
    <t>Meta de Bienestar 2020-2023</t>
  </si>
  <si>
    <t>Línea Base 2019</t>
  </si>
  <si>
    <t>Indicador de Bienestar</t>
  </si>
  <si>
    <t>LINEA ESTRATEGICA</t>
  </si>
  <si>
    <t>PILAR</t>
  </si>
  <si>
    <t>Fecha de Inicio Contratación</t>
  </si>
  <si>
    <t>Beneficiarios Programados</t>
  </si>
  <si>
    <t>Beneficiarios Cubiertos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</si>
  <si>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</si>
  <si>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</si>
  <si>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</si>
  <si>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</si>
  <si>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</si>
  <si>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</si>
  <si>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Actividad del  Proyecto 2022</t>
  </si>
  <si>
    <t>Cumplimiento Metas de Bienestar Enero a Junio de 2021</t>
  </si>
  <si>
    <t>Cumplimiento Metas de Bienestar Enero a Septiembre de 2021</t>
  </si>
  <si>
    <t>Cumplimiento Metas de Bienestar Enero a Noviembre de 2021</t>
  </si>
  <si>
    <t>Valor Absoluto de la Meta Producto 2020-2023</t>
  </si>
  <si>
    <t>PROGRAMACIÓN META A 2020</t>
  </si>
  <si>
    <t>META ACUMULADA A DICIEMBRE 2020</t>
  </si>
  <si>
    <t>PROGRAMACIÓN META PRODUCTO  A 2021</t>
  </si>
  <si>
    <t>REPORTE META PRODUCTO ENERO - MARZO 2021</t>
  </si>
  <si>
    <t>REPORTE META PRODUCTO ABRIL - JUNIO 2021</t>
  </si>
  <si>
    <t>REPORTE META PRODUCTO JULIO - SEPTIEMBRE 2021</t>
  </si>
  <si>
    <t>REPORTE META PRODUCTO OCTUBRE - NOVIEMBRE 2021</t>
  </si>
  <si>
    <t>META A DICIEMBRE 2021</t>
  </si>
  <si>
    <t>Actividades de Proyecto (METAS)</t>
  </si>
  <si>
    <t>INCLUYENTE</t>
  </si>
  <si>
    <r>
      <t>LÍNEA ESTRATÉGICA SALUD PARA TODOS</t>
    </r>
    <r>
      <rPr>
        <sz val="12"/>
        <color indexed="49"/>
        <rFont val="Calibri"/>
        <family val="2"/>
      </rPr>
      <t>.</t>
    </r>
  </si>
  <si>
    <t>Cobertura en Aseguramiento al Régimen Subsidiado en Salud.</t>
  </si>
  <si>
    <t>98%
Fuente: Dirección Operativa de Aseguramiento DADIS. (2019)</t>
  </si>
  <si>
    <t>Aumentar la Cobertura de Aseguramiento al Régimen Subsidiado en Salud al 100%.</t>
  </si>
  <si>
    <t>Programa: Fortalecimiento de la autoridad sanitaria</t>
  </si>
  <si>
    <t>Número de nuevas personas (niños, niñas, adolescentes, jóvenes y adultos)  afiliadas al régimen subsidiado en salud</t>
  </si>
  <si>
    <t xml:space="preserve">Afiliar a 15.000 nuevas personas (niños, niñas, adolescentes, jóvenes y adultos) al régimen subsidiado en salud </t>
  </si>
  <si>
    <t>Brindar  aseguramiento universal en salud de la población de los niveles 1 y 2 del SISBEN, en el Distrito de Cartagena de Indias.</t>
  </si>
  <si>
    <t>Dirección Operativa de Aseguramiento</t>
  </si>
  <si>
    <t>Efrain Espinosa</t>
  </si>
  <si>
    <t>Coberturas de vacunación del 95% en niños y niñas de un año</t>
  </si>
  <si>
    <t>Aumentar a un 95% cobertura de vacunación en niños y niñas de un año.</t>
  </si>
  <si>
    <t>Porcentaje de afiliados que mantienen continuidad en el régimen subsidiado</t>
  </si>
  <si>
    <t>Mantener la continuidad de la afiliación del 100% personas que vienen afiliados al régimen subsidiado del 2020.</t>
  </si>
  <si>
    <t>Tasa de mortalidad infantil</t>
  </si>
  <si>
    <t xml:space="preserve"> 11,7 x 1000 niños menor 1 año
 Fuente: ASIS 2018</t>
  </si>
  <si>
    <t xml:space="preserve"> Mantener Tasa de mortalidad infantil por debajo de 11,7 x1000 niños menor 1 año</t>
  </si>
  <si>
    <t>6,4 por 1.000</t>
  </si>
  <si>
    <t>9,6 por 1,000</t>
  </si>
  <si>
    <t>Tasa de mortalidad materna – Número de muertes maternas por  100.000 nacidos vivos.</t>
  </si>
  <si>
    <t>42,7 muertes maternas por  100.000 nacidos vivos.</t>
  </si>
  <si>
    <t xml:space="preserve">Disminuir la Tasa de Mortalidad materna a 32,5 x 100.000 nacidos vivos </t>
  </si>
  <si>
    <t xml:space="preserve">64,11 por 100.000 </t>
  </si>
  <si>
    <t>64,11 por 100.000</t>
  </si>
  <si>
    <t>65,6 por 100.000</t>
  </si>
  <si>
    <t>Coberturas de vacunación del 95% en niños y niñas menores de un año</t>
  </si>
  <si>
    <t>Aumentar a un 95% cobertura de vacunación en niños y niñas menores de un año.</t>
  </si>
  <si>
    <t>Porcentaje de IPS con servicios de urgencia habilitados de mediana y alta complejidad auditadas</t>
  </si>
  <si>
    <t>Realizar anualmente la auditoría de calidad en la prestación al 100% de las IPS del Distrito con servicios de urgencia habilitados de mediana y alta complejidad.</t>
  </si>
  <si>
    <t>Mejorar la Calidad en la atención en salud a la población pobre y vulnerable no asegurada y a la desplazada por la violencia en el Distrito de Cartagena.</t>
  </si>
  <si>
    <t>Dirección Operativa de Prestación de Servicios</t>
  </si>
  <si>
    <t>Bartolo Hernandez</t>
  </si>
  <si>
    <t>Número de días de oportunidad en la atención de la consulta de medicina especializada.              </t>
  </si>
  <si>
    <t>6 días</t>
  </si>
  <si>
    <t>Mejorar la Oportunidad en la atención de la consulta de medicina especializada       a 5 días.</t>
  </si>
  <si>
    <t>Número de servicios de salud habilitados conformando la red integrada</t>
  </si>
  <si>
    <t>Mantener los  142 servicios de salud habilitados conformen la red integrada de salud del Distrito de Cartagena para atender Población Pobre No Asegurado.</t>
  </si>
  <si>
    <t>Cuentas por pagar de prestación de servicios de salud pagadas y saneadas</t>
  </si>
  <si>
    <t>$271.181.490.460
Fuente: Dirección Administrativa y Financiera</t>
  </si>
  <si>
    <t>Pagar y sanear las cuentas por pagar de Prestación de Servicios de Salud por un valor de $135.590.745.230</t>
  </si>
  <si>
    <t>Se cumplio en el primer año</t>
  </si>
  <si>
    <t>Porcentaje de la implementación del Modelo de Acción Integral Territorial (MAITE).</t>
  </si>
  <si>
    <t> 62%</t>
  </si>
  <si>
    <t> Implementación del Modelo de Acción Integral Territorial (MAITE) en Salud Pública en un 100% (8 lineas)</t>
  </si>
  <si>
    <t>Desarrollo Institucional del Departamento Administrativo Distrital de Salud de  Cartagena de Indias</t>
  </si>
  <si>
    <t>Mejorar el desempeño integral en salud como autoridad sanitaria</t>
  </si>
  <si>
    <t>1. Implementación del Modelo de Acción Integral Territorial (MAITE) en Salud Pública en un 100% (8 lineas)</t>
  </si>
  <si>
    <t>Dirección DADIS</t>
  </si>
  <si>
    <t>Jhoana Bueno</t>
  </si>
  <si>
    <t>Porcentaje de reportes Presupuestal, Tesorería y Contable realizados.</t>
  </si>
  <si>
    <t>Reportar en un  100% informes sobre la situación Presupuestal, Tesorería y Contable.</t>
  </si>
  <si>
    <t>2. Reportar 4 informes sobre la situación Presupuestal, Tesorería y Contable.</t>
  </si>
  <si>
    <t> Porcentaje de usuarios satisfechos con la calidad de la atención en salud recibida</t>
  </si>
  <si>
    <t>Aumentar a más de 85%  la satisfacción de usuarios con la calidad de la atención en salud recibida</t>
  </si>
  <si>
    <t>3. Realizar anualmente dos encuestas de satisfacción de usuarios frente a la calidad de los servicios de atención en salud recibida.</t>
  </si>
  <si>
    <t>4. Realizar al menos una jornada anual de rendición de cuentas en salud</t>
  </si>
  <si>
    <t>5. Realizar un consejo de gobierno trimestral para análisis y toma de decisiones  correctivas  en salud</t>
  </si>
  <si>
    <t>Porcentaje de cobertura en generación de estadísticas vitales por medio de la WEB.</t>
  </si>
  <si>
    <t>Mantener el 100% de cobertura en generación de estadísticas vitales por medio de la WEB.</t>
  </si>
  <si>
    <t>Lograr que 56 de las instituciones que generan estadísticas vitales, la sigan generando por medio de la WEB</t>
  </si>
  <si>
    <t>Amaury Padilla Salcedo</t>
  </si>
  <si>
    <t>Número de Instituciones Prestadoras de Servicios de Salud IPS certificando condiciones de habilitación.</t>
  </si>
  <si>
    <t>Lograr que cuatro (4) Instituciones Prestadoras de Servicios de Salud IPS certifiquen condiciones de habilitación</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</si>
  <si>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</si>
  <si>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Indias.</t>
  </si>
  <si>
    <t>Dirección Operativa de Vigilancia y Control</t>
  </si>
  <si>
    <t>Maria Paulina Osorio</t>
  </si>
  <si>
    <t>Porcentaje de IPS que incumplen las normas de habilitación, que son sancionadas</t>
  </si>
  <si>
    <t xml:space="preserve">29,73%
</t>
  </si>
  <si>
    <t>Lograr que en los proximos 4 años, el 40% de los prestadores de salud que sean visitados e incumplan las normas de habilitación sean sancionados</t>
  </si>
  <si>
    <t>Gestionar  la  inscripción del 100% de los prestadores de servicios de salud, en el Registro Especial de Prestadores de servicios de salud (REPSS),  acorde con la Normatividad vigente</t>
  </si>
  <si>
    <t>   Lograr que  el 10% de los prestadores de salud que sean visitados e incumplan las normas de habilitación sean sancionados</t>
  </si>
  <si>
    <t>Realizar visitas de verificación del cumplimiento de los requisitos mínimos de habilitación al 25% de los prestadores de servicios de salud del Distrito de Cartagena</t>
  </si>
  <si>
    <t xml:space="preserve"> Lograr que 30 de las IPS que no están cumpliendo con el reporte de indicadores del Sistema de información, reporten adecuadamente al DADIS, los indicadores trazadores del sistema de información del SOGC. Acorde a la Resolución 1446 de 2006 y circular única 049 de Supersalud</t>
  </si>
  <si>
    <t xml:space="preserve"> Realizar visitas para  evaluar el proceso de Mantenimiento Hospitalario y Tecnología Biomédica  a 60  IPS que les aplica</t>
  </si>
  <si>
    <t xml:space="preserve">    Realizar visita de IVC  a 15 Instituciones prestadoras de servicios de salud de baja, mediana y alta complejidad </t>
  </si>
  <si>
    <t>Número de establecimientos farmacéuticos priorizados vigilados anualmente</t>
  </si>
  <si>
    <t>Vigilar anualmente 500 establecimientos farmacéuticos priorizados en el Distrito Cartagena</t>
  </si>
  <si>
    <t>Control y vigilancia de Medicamentos en el Distrito de  Cartagena de Indias</t>
  </si>
  <si>
    <t>Disminuir el riesgo de enfermar o morir asociado al consumo o utilización de medicamentos, dispositivos médicos y otros productos de consumo relacionados que puedan tener impacto en la salud individual y colectiva en el Distrito de Cartagena</t>
  </si>
  <si>
    <t>Vigilar y controlar el cumplimiento de las normas vigentes en 500 establecimientos farmacéuticos mayoristas y minoristas, servicios farmacéuticos en general y similares, de acuerdo con los lineamientos del Ministerio de Salud y Protección Social e INVIMA.</t>
  </si>
  <si>
    <t>Dirección Operativa de Salud Publica</t>
  </si>
  <si>
    <t xml:space="preserve">Líder Programa Medicamentos y Alimentos Gustavo Orozco Lorduy </t>
  </si>
  <si>
    <t>Realizar 10 capacitaciones anualmente sobre la normatividad sanitaria vigente en medicamentos y otros productos farmacéuticos a establecimientos farmacéuticos, servicios farmacéuticos, EAPB y otros</t>
  </si>
  <si>
    <t>Fortalecer en 30 instituciones los programas institucionales de Farmacovigilancia, Tecnovigilancia y Reactivovigilancia</t>
  </si>
  <si>
    <t>Diseñar y ejecutar una campaña publicitaria para promoción de uso racional de medicamentos, uso adecuado de antibióticos y promoción de donación altruista de sangre.</t>
  </si>
  <si>
    <t>Porcentaje de los eventos de interés en salud pública notificados e intervenidos  según lineamientos nacionales intervenidos oportunamente</t>
  </si>
  <si>
    <t>Intervenir oportunamente el 100% de los eventos de interés en salud pública notificados en las 164 UPGD según lineamientos nacionales</t>
  </si>
  <si>
    <t>Desarrollar acciones encaminadas a estructurar el COE del Distrito de Cartagena como respuesta ante las situaciones de emergencias en salud pública.</t>
  </si>
  <si>
    <t>Captar y monitorear el 100% de alertas tempranas que puedan generar emergencias en salud pública.</t>
  </si>
  <si>
    <t>ICLD</t>
  </si>
  <si>
    <t>Realizar el 100% de análisis de situación de tiempo real (SITREP) por emergencias en salud detectadas.</t>
  </si>
  <si>
    <t>Desarrollar cuatro (4) espacios de articulación Intra e Inter sectorial de los principales actores encargados ante la Respuesta a situaciones de emergencia en salud pública.</t>
  </si>
  <si>
    <t>Programación de la Vigilancia en Salud Pública en el Distrito de  Cartagena de Indias</t>
  </si>
  <si>
    <t>Gestionar técnicamente el Sistema de Vigilancia en Salud Pública del Distrito de Cartagena- SIVIGILA-SIANIES, con el fin de proveer información confiable, oportuna y sistemática sobre los eventos de interés en salud pública.</t>
  </si>
  <si>
    <t>Desarrollar capacidades al 100% de las Unidades Primarias Generadoras de Datos (UPGD) del Distrito en los procesos de Vigilancia epidemiológica y respuesta en salud pública.</t>
  </si>
  <si>
    <t>Dirección Operativa de Salud Pública</t>
  </si>
  <si>
    <t>Eva Masiel Perez Torres Lider Programa Vigilancia en Salud Publica</t>
  </si>
  <si>
    <t> Implementación del Modelo de Acción Integral Territorial (MAITE) en Salud Pública en un 100%</t>
  </si>
  <si>
    <t>Reducir las brechas de acceso integral a los servicios de salud de la población del Distrito de Cartagena de Indias.</t>
  </si>
  <si>
    <t> Implementación del 100% del componente de Salud Pública en el marco del Modelo de Acción Integral Territorial (MAITE)</t>
  </si>
  <si>
    <t xml:space="preserve">Número de EAPB con implementación de las Rutas de Promoción y Mantenimiento de la salud. </t>
  </si>
  <si>
    <t>Lograr que las 19 EAPB tengan implementadas la Rutas de Promoción y Mantenimiento de la Salud en el cuatrienio.</t>
  </si>
  <si>
    <t>Lograr que el 100% de Proyectos de Salud Pública estén inscritos y/o actualizados en el banco de Proyectos Distrital</t>
  </si>
  <si>
    <t xml:space="preserve">Lograr que las 18 EAPB tengan implementadas la Rutas de Promoción y Mantenimiento de la Salud en el cuatrienio </t>
  </si>
  <si>
    <t>Realizar una (1) capacitación para desarrollar capacidades en el talento humano de la autoridad sanitaria en acciones de la gestión en salud pública.</t>
  </si>
  <si>
    <t>Programa: Transversal gestión diferencial de poblaciones vulnerables</t>
  </si>
  <si>
    <t>Número de Personas víctimas del conflicto armado atendidas y orientadas en deberes y derechos en salud</t>
  </si>
  <si>
    <t>4190
Fuente: Oficina PAU DADIS (2019)</t>
  </si>
  <si>
    <t>Atender y orientar en deberes y derechos en salud a 20.230 víctimas del conflicto armado, residentes en el Distrito de Cartagena, que asistan al Punto de Atención a Víctimas.</t>
  </si>
  <si>
    <t>Articular con las Entidades Administradoras de Planes de Beneficios (EAPB) la atención en salud con enfoque diferencial a los grupos poblacionales vulnerables en el Distrito de Cartagena</t>
  </si>
  <si>
    <t>Lograr la certificación a 755 personas con discapacidad en el Distrito de Cartagena según Resolución 113 de 2020. (Primera Infancia, Infancia, Adolescencia, Jóvenes y Adultos, Población Negra, Afrocolombiana, Raizal y Palenquera e Indígena).</t>
  </si>
  <si>
    <t>Oficina de Participación y Atención al Usuario DADIS</t>
  </si>
  <si>
    <t>Edna Romero Racero Lider Oficina de PAU</t>
  </si>
  <si>
    <t>Porcentaje de EAPB Contributivas y Subsidiadas en el Distrito de Cartagena con atención preferencial y diferencial de Grupos de Poblaciones Vulnerables</t>
  </si>
  <si>
    <t>75% 
Fuente: Oficina PAU DADIS (2019)</t>
  </si>
  <si>
    <t>Lograr el 100% de EAPB Contributivas y Subsidiadas en el Distrito de Cartagena con atención preferencial y diferencial de Grupos de Poblaciones Vulnerables</t>
  </si>
  <si>
    <t>Número de Personas con discapacidad certificada según Resolución 113 de 2020 (primera infancia, infancia, adolescencia, jóvenes y adultos, población Negra, Afrocolombiana, Raizal y Palenquera e Indígena)</t>
  </si>
  <si>
    <t>Lograr la certificación a 3.021 personas con discapacidad en el Distrito de Cartagena según Resolución 113 de 2020. (primera infancia, infancia, adolescencia, jóvenes y adultos, población Negra, Afrocolombiana, Raizal y Palenquera e Indígena)</t>
  </si>
  <si>
    <t>Número de Personas con discapacidad que reciben apoyo para su habilitación y/o rehabilitación funcional (primera infancia, infancia, adolescencia, jóvenes y adultos población Negra, Afrocolombiana, Raizal y Palenquera e Indígena).</t>
  </si>
  <si>
    <t>Atender a 400 personas con discapacidad mediante el suministro de Productos de Apoyo para su habilitación y/o rehabilitación funcional (  primera infancia, infancia, adolescencia, jóvenes y adultos, población Negra, Afrocolombiana, Raizal y Palenquera e Indígena).</t>
  </si>
  <si>
    <t xml:space="preserve">Número de Estrategias Rehabilitación Basada en Comunidad-RBC </t>
  </si>
  <si>
    <t>Ejecutar 4 Estrategias de Rehabilitación Basada en Comunidad-RBC en el Distrito de Cartagena</t>
  </si>
  <si>
    <t xml:space="preserve">Número de Instituciones prestadoras de salud priorizadas que cuenten con servicios de atención materno - infantil en el Distrito de Cartagena con desarrollo de capacidades técnicas en protocolos, guías y estrategias de salud infantil. </t>
  </si>
  <si>
    <t>40
Fuente: Programa Salud Infantil (2019)</t>
  </si>
  <si>
    <t>Desarrollar anualmente las capacidades técnicas en protocolos, guías y estrategias de salud infantil en cuarenta (40) Instituciones prestadoras de salud priorizadas que cuenten con servicios de atención materno - infantil en el Distrito de Cartagena.</t>
  </si>
  <si>
    <t>Prevención y promoción de la salud Infantil en el Distrito de Cartagena de Indias</t>
  </si>
  <si>
    <t>Disminuir la morbilidad y mortalidad en niños y niñas menores de 5 años.</t>
  </si>
  <si>
    <t>Dirección Operativa de Salud Pública DADIS</t>
  </si>
  <si>
    <t xml:space="preserve">Lider Programa infancia Marily Vivanco Melendez </t>
  </si>
  <si>
    <t>Programa Salud ambiental</t>
  </si>
  <si>
    <t>Índice de Riesgo de Calidad del Agua (IRCA)</t>
  </si>
  <si>
    <t>Control y Vigilancia de la calidad del agua para consumo humano y de diversión en el Distrito de  Cartagena de Indias</t>
  </si>
  <si>
    <t>Intervenir los riesgos de mortalidad y morbilidad a los que está expuesta la población del Distrito de Cartagena de Indias por consumo y uso de agua.</t>
  </si>
  <si>
    <t>Profesional Especializado a cargo de programa de Salud ambiental Wilson Ortega Hernandez</t>
  </si>
  <si>
    <t>Número de actividades de Educación sobre Saneamiento Básico Ambiental, Entornos Saludables y Agua   a la población de las 15 Unidades Comuneras y zona rural e insular</t>
  </si>
  <si>
    <t xml:space="preserve">Realizar anualmente 48 actividades de Educación sobre Saneamiento Básico Ambiental, Entornos saludables y Agua a la población de las 15 Unidades Comuneras y zona rural e insular </t>
  </si>
  <si>
    <t>Ejecutar un plan de educación y comunicación en salud en Saneamiento Básico en el 100% de las comunidades priorizadas del Distrito de Cartagena de Indias</t>
  </si>
  <si>
    <t>Número de establecimientos abiertos priorizados al público de Interés Sanitarios diferentes a expendio de alimentos y medicamentos Vigilados y Controlados con concepto favorable anualmente</t>
  </si>
  <si>
    <t>8000
Fuente: Programa de Salud Ambiental (2019)</t>
  </si>
  <si>
    <t>Lograr que 7.600 (95%) establecimientos abiertos priorizados al público de Interés Sanitarios  diferentes a expendio de alimentos y medicamentos Vigilados y Controlados con concepto favorable anualmente</t>
  </si>
  <si>
    <t>Saneamiento en seguridad sanitaria del ambiente Cartagena de Indias</t>
  </si>
  <si>
    <t>Intervenir los riesgos de mortalidad y morbilidad a los que está expuesta la población del Distrito de Cartagena de Indias ocasionada por Factores de Riesgo Ambiental.</t>
  </si>
  <si>
    <t>Lograr que al menos 7600 establecimientos abiertos al público de interés sanitario de alto riesgo, diferentes a expendio de alimentos y medicamentos, alcancen concepto sanitario favorable.</t>
  </si>
  <si>
    <t>Desarrollar acciones de Promoción de la salud y Prevención de la enfermedad sobre Entornos saludables al 100% de Sectores Priorizados</t>
  </si>
  <si>
    <t>Mortalidad por rabia humana</t>
  </si>
  <si>
    <t>0
Fuente: Programa de Salud Ambiental (2019)</t>
  </si>
  <si>
    <t>Mantener la rabia humana en cero (0)</t>
  </si>
  <si>
    <t>Rabia en cero (0)</t>
  </si>
  <si>
    <t>Rabia en cero</t>
  </si>
  <si>
    <t>Prevención y promoción de la zoonosis en el Distrito de  Cartagena de Indias</t>
  </si>
  <si>
    <t>Disminuir la mortalidad y morbilidad por Enfermedades Zoonóticas en la población del distrito de Cartagena</t>
  </si>
  <si>
    <t>Cobertura útil de vacunación contra la rabia en población de caninos y felinos</t>
  </si>
  <si>
    <t>90%
Fuente: Programa de Salud Ambiental (2019)</t>
  </si>
  <si>
    <t>Mantener anualmente coberturas de vacunación de 90% contra la rabia en población de caninos y felinos</t>
  </si>
  <si>
    <t>Desarrollar en un 85% acciones de IEC y movilización social dirigidas a la comunidad capaces de impactar sobre sus conductas de riesgo</t>
  </si>
  <si>
    <t>Programa: Vida saludable y condiciones no transmisibles</t>
  </si>
  <si>
    <t>Número de entornos con la estrategia “conoce tu riesgo peso saludable”.</t>
  </si>
  <si>
    <t>4
Fuente: Programa ECNT (2019)</t>
  </si>
  <si>
    <t>Implementar en los 4 entornos: educativo, laboral, comunitario e institucional la estrategia “conoce tu riesgo peso saludable”.</t>
  </si>
  <si>
    <t>Fortalecimiento de vida saludable y atención de condiciones crónicas no transmisibles en el Distrito de  Cartagena de Indias</t>
  </si>
  <si>
    <t>Disminuir las tasas de morbimortalidad por enfermedades circulatorias y neoplasicas en la poblacion del distrito de cartagena</t>
  </si>
  <si>
    <t>Desarrollar asistencias técnicas, seguimiento y evaluación al talento humano del 100% de EAPB y su Red prestadora  en detección temprana y tratamiento oportuno del cáncer de infantil.</t>
  </si>
  <si>
    <t>Claudia Vasquez Cabeza Lider programa ECNT</t>
  </si>
  <si>
    <t>Número de Instituciones de salud con desarrollo de capacidades al talento humano para fortalecer la detección temprana y tratamiento oportuno del cáncer de cérvix.</t>
  </si>
  <si>
    <t>38
Fuente: Programa ECNT (2019)</t>
  </si>
  <si>
    <t>Realizar anualmente el desarrollo de capacidades al talento humano de las 18 EAPB y 20 IPS para fortalecer la detección temprana y tratamiento oportuno del cáncer de cérvix</t>
  </si>
  <si>
    <t xml:space="preserve">Realizar  mensualmente un informe del comportamiento de la tasa de mortalidad por cáncer en la población infantil </t>
  </si>
  <si>
    <t>Número de Instituciones de salud con desarrollo de capacidades al talento humano para fortalecer la detección temprana y tratamiento oportuno del cáncer de mama.</t>
  </si>
  <si>
    <t>48
Fuente: Programa ECNT (2019)</t>
  </si>
  <si>
    <t>Realizar anualmente desarrollo de capacidades al talento humano de las 18 EAPB y 30 IPS para fortalecer la detección temprana y tratamiento oportuno del cáncer de mama</t>
  </si>
  <si>
    <t>Número de Instituciones de salud con desarrollo de capacidades al talento humano para fortalecer la detección temprana y tratamiento oportuno del cáncer infantil.</t>
  </si>
  <si>
    <t>Realizar anualmente desarrollo de capacidades al talento humano de las 18 EAPB y 30 IPS para fortalecer la detección temprana y tratamiento oportuno del cáncer infantil.</t>
  </si>
  <si>
    <t>Efectuar seguimiento semestral al avance del 100% de  los indicadores por enfermedades circulatorias a la población de 30 a 70 años</t>
  </si>
  <si>
    <t xml:space="preserve"> Tasa de muertes prematuras por enfermedades circulatorias entre 30 a 70 años x 100.000 habitantes.</t>
  </si>
  <si>
    <t>113,23 x100.000 habitantes
Fuente: RUAF (2019)</t>
  </si>
  <si>
    <t>68.91 x 100000 habitantes</t>
  </si>
  <si>
    <t>Tasa de mortalidad por tumor maligno de mama -  Número de casos por 100 mil habitantes.   </t>
  </si>
  <si>
    <t xml:space="preserve"> 15,52 x 100 mil habitantes.
Fuente: SIVIGILA 2018</t>
  </si>
  <si>
    <t>Disminuir la Tasa de mortalidad por tumor maligno de mama a 12,7 x 100 mil habitantes según la media nacional</t>
  </si>
  <si>
    <t xml:space="preserve">12 x 100 mil habitantes </t>
  </si>
  <si>
    <t xml:space="preserve">14 x 100 mil habitantes </t>
  </si>
  <si>
    <t>11.24 x 100000 mujeres</t>
  </si>
  <si>
    <t xml:space="preserve">15 x 100 mil habitantes </t>
  </si>
  <si>
    <t>Realizar mensualmente un informe de seguimiento a la tasa de mortalidad por tumor maligno de cérvix.</t>
  </si>
  <si>
    <t>Tasa de mortalidad por tumor maligno de cérvix- -  Número de casos por 100 mil habitantes.                                  </t>
  </si>
  <si>
    <t xml:space="preserve"> 7,06 x 100 mil habitantes.    
Fuente: SIVIGILA 2018</t>
  </si>
  <si>
    <t>Disminuir la Tasa de mortalidad por tumor maligno de cérvix igual a la media nacional de 6,41x 100 mil habitantes.</t>
  </si>
  <si>
    <t xml:space="preserve"> 6,41x 100 mil habitantes.</t>
  </si>
  <si>
    <t>6.55 x 100000 mujeres</t>
  </si>
  <si>
    <t>Tasa de mortalidad por cáncer infantil</t>
  </si>
  <si>
    <t>2,59 x 100 mil habitantes
Fuente: SIVIGILA 2018</t>
  </si>
  <si>
    <t>1.63 x 100000 habitantes</t>
  </si>
  <si>
    <t>Evaluar trimestralmente el 100%  de casos notificados por tumor maligno de mama y compararlo con la media nacional.</t>
  </si>
  <si>
    <t>Tasa de morbilidad ajustada a pacientes con caries dental en menores de doce (12) años.</t>
  </si>
  <si>
    <t>2.6
Fuente: SIVIGILA 2018</t>
  </si>
  <si>
    <t>Disminuir el índice de caries dentales (COP) a 2.3 en menores de doce (12) años.</t>
  </si>
  <si>
    <t>Prevención y Control de las Alteraciones de la Salud Oral  Cartagena de Indias</t>
  </si>
  <si>
    <t xml:space="preserve">Mejorar la atención integral en salud bucal de la población infantil del Distrito de Cartagena de Indias </t>
  </si>
  <si>
    <t>Número de odontólogos con desarrollo de capacidades sobre el impacto en salud pública de la fluorosis dental y uso controlado del flúor y no utilización del mercurio.</t>
  </si>
  <si>
    <t>100
Fuente: Programa de Salud Oral (2019)</t>
  </si>
  <si>
    <t>Realizar desarrollo de capacidades anualmente a 100 odontólogos de   instituciones prestadoras de servicios de salud del Distrito de Cartagena, sobre el impacto en salud pública de la fluorosis dental y uso controlado del flúor y no utilización del mercurio.</t>
  </si>
  <si>
    <t>Desarrollo de capacidades de 300 personas; padres de familias, cuidadoras de los Centro de Desarrollo Infantil – CDI y estudiantes de instituciones educativas publicas en las alteraciones de la cavidad bucal.</t>
  </si>
  <si>
    <t>Número de EAPB con desarrollo de capacidades sobre las enfermedades que impactan la salud bucal en el distrito de Cartagena.</t>
  </si>
  <si>
    <t>18
Fuente: Programa de Salud Oral (2019)</t>
  </si>
  <si>
    <t>Mantener el Desarrollo de capacidades anual al talento humano de las EAPB (18) sobre las enfermedades que impactan la salud bucal en el distrito de Cartagena.</t>
  </si>
  <si>
    <t>Desarrollo de capacidades  a 100 odontólogos de las IPS en los lineamientos técnicos y operativos según normatividad vigente.</t>
  </si>
  <si>
    <t>Porcentaje de atención oportuna en los casos identificados con defectos refractivos en primera infancia e infancia (2 a 8 años).</t>
  </si>
  <si>
    <t>100%
Fuente: Programa de Salud Visual (2019)</t>
  </si>
  <si>
    <t xml:space="preserve"> Verificar  la atención  oportuna al 100% de  los casos identificados con defectos refractivos en primera infancia e infancia (2 a 8 años).</t>
  </si>
  <si>
    <t>19EAPB</t>
  </si>
  <si>
    <t>Prevención y Control de las Alteraciones de la Salud Visual  Cartagena de Indias</t>
  </si>
  <si>
    <t xml:space="preserve">Mejorar la atención integral en salud visual  de la población infantil del Distrito de Cartagena de Indias </t>
  </si>
  <si>
    <t xml:space="preserve">Número de niños entre 2 a 8 años diagnosticados con defectos refractivos </t>
  </si>
  <si>
    <t>100
Fuente: Programa de Salud Visual (2019)</t>
  </si>
  <si>
    <t>Mantener el Seguimiento anual a la atención oportuna a 100 niños entre 2 a 8 años diagnosticados con defectos refractivos en las EPS y régimen especial.</t>
  </si>
  <si>
    <t>Monitorear periódicamente la atención del 100% de los casos identificados con defectos refractivos en primera infancia e infancia (2 a 8 años).</t>
  </si>
  <si>
    <t>Verificar el cumplimiento de la oportunidad en la atención 100 niños entre 2 a 8 años diagnosticados con defectos refractivos</t>
  </si>
  <si>
    <t>Porcentaje de atención oportuna en los casos identificados con hipoacusia en primera infancia e infancia (0 a 12 años)</t>
  </si>
  <si>
    <t>100%
Fuente: Programa de Salud Auditiva (2019)</t>
  </si>
  <si>
    <t>Mantener la atención oportuna  al 100% de  los casos identificados con hipoacusia en primera infancia e infancia (0 a 12 años).</t>
  </si>
  <si>
    <t>Prevención y Control de Salud Auditiva  Cartagena de Indias</t>
  </si>
  <si>
    <t>Mejorar la atención integral en salud auditiva de la población infantil del Distrito de Cartagena de Indias</t>
  </si>
  <si>
    <t>Monitorear la atención del 100% de los casos identificados con hipoacusia en primera infancia e infancia (0 a 12 años).</t>
  </si>
  <si>
    <t>Número de niños diagnosticados con hipoacusia entre 0 a 12 año con seguimiento</t>
  </si>
  <si>
    <t>75
Fuente: Programa de Salud Auditiva (2019)</t>
  </si>
  <si>
    <t>Mantener el Desarrollo de Seguimiento anual a la atención oportuna a 75 niños diagnosticados con hipoacusia entre 0 a 12 años, en las EPS y régimen especial del distrito de Cartagena.</t>
  </si>
  <si>
    <t>Número de EPS con desarrollo de capacidades sobre las enfermedades que impactan la salud auditiva en el distrito de Cartagena.</t>
  </si>
  <si>
    <t>18
Fuente: Programa de Salud Auditiva (2019)</t>
  </si>
  <si>
    <t>Mantener el Desarrollo de capacidades anual al talento humano de las EPS (18) de las enfermedades que impactan la salud auditiva en el distrito de Cartagena.</t>
  </si>
  <si>
    <t xml:space="preserve">Vigilar que las EAPB cumplan en 75 niños diagnosticados con la aplicación de las guías y protocolos de atención de alteraciones auditivas. </t>
  </si>
  <si>
    <t>Programa: Convivencia social y salud mental</t>
  </si>
  <si>
    <t>Política Nacional de Salud Mental y Política Integral para la prevención y atención del consumo de sustancias psicoactivas, adoptada,  adaptada e implementada</t>
  </si>
  <si>
    <t>Adoptar, adaptar e implementar la Política Nacional de Salud Mental y Política Integral para la prevención y atención del consumo de sustancias psicoactivassegún el contexto Distrital.</t>
  </si>
  <si>
    <t>Prevención en Salud Mental en el Distrito de Cartagena de Indias</t>
  </si>
  <si>
    <t xml:space="preserve">Contribuir a la gestión integral de los riesgos asociados a la salud mental y la convivencia social para la disminución de los problemas y trastornos mentales en el Distrito de Cartagena de Indias. </t>
  </si>
  <si>
    <t xml:space="preserve">Formular, adaptar e implementar el 100% de la Política Publica de Salud Mental, Prevención y Atención   de Consumo de Sustancias Psicoactiva en el contexto del Distrito </t>
  </si>
  <si>
    <t>Lider de programa salud mental Cesar Gavalo Herrera</t>
  </si>
  <si>
    <t>Porcentaje de los casos de intento de suicidio atendidos en el Distrito, notificado al SIVIGILA.</t>
  </si>
  <si>
    <t>100%
Fuente: SIVIGILA (2019)</t>
  </si>
  <si>
    <t>Realizar seguimiento anual al 100% de los casos de intento de suicidio atendidos en el Distrito, notificado al SIVIGILA.</t>
  </si>
  <si>
    <t>Realizar Atención y seguimiento integral al 100% de los casos de intento de suicidios que se presenten en Distrito y que sean notificados en el SIVIGILA</t>
  </si>
  <si>
    <t>4
Fuente: Programa Salud mental (2019)</t>
  </si>
  <si>
    <t>&lt;4</t>
  </si>
  <si>
    <t xml:space="preserve">Disminuir la tasa de suicidios a menos de 4 casos por 100 mil habitantes en especial en primera infancia, infancia, adolescencia, jóvenes y adultos. </t>
  </si>
  <si>
    <t>100%
Fuente: Programa Salud mental (2019)</t>
  </si>
  <si>
    <t>Realizar anualmente acompañamiento técnico para el desarrollo de capacidades en la atención integral del consumo de sustancias psicoactivas y los problemas y trastornos mentales, al 100% de las EAPB e IPS de salud mental habilitadas en el Distrito</t>
  </si>
  <si>
    <t>Realizar asistencia o acompañamiento técnico para el desarrollo de capacidades en la atención integral del consumo de sustancias Psicoactivas en el 100% de las EAPB e IPS.</t>
  </si>
  <si>
    <t>Aumentar el acompañamiento técnico al 100% de las EAPB e IPS de Salud Mental para el desarrollo de capacidades tendientes en la atención integral de personas contagiadas con el COVID – 19, Epilepsia, problemas y trastornos metales</t>
  </si>
  <si>
    <t>Programa Nutrición e inocuidad de alimentos</t>
  </si>
  <si>
    <t>Número de IPS y EAPB  con desarrollo de  capacidades en estrategia IAMI y Consejería en Lactancia materna</t>
  </si>
  <si>
    <t>40
Fuente: Programa de Nutrición (2019)</t>
  </si>
  <si>
    <t xml:space="preserve"> Mantener el Desarrollo de capacidades a 40 IPS y EAPB en estrategia IAMI y Consejería en Lactancia. </t>
  </si>
  <si>
    <t>Fortalecimiento de la nutrición, consumo y aprovechamiento de alimentos de la población del Distrito de  Cartagena de Indias</t>
  </si>
  <si>
    <t>Reducir los casos de malnutrición en la población infantil del Distrito de Cartagena de Indias</t>
  </si>
  <si>
    <t>Lider de programa nutrición 
Carmen Cecilia Velasco Alvarado</t>
  </si>
  <si>
    <t>Número de  CDI y Hogares infantiles  con desarrollo de  capacidades en Guías Alimentarias basadas en Alimentos GABAS.</t>
  </si>
  <si>
    <t>120
Fuente: Programa de Nutrición (2019)</t>
  </si>
  <si>
    <t>Desarrollar capacidades a 80 CDI y 40 Hogares infantiles en Guías Alimentarias basadas en Alimentos GABAS.</t>
  </si>
  <si>
    <t>Mantener en menos de 8.23% la proporción de bajo peso al nacer</t>
  </si>
  <si>
    <t>No se ha realizado calculo</t>
  </si>
  <si>
    <t>Número de entornos escolares alimentarios saludables, para niñas, niños y adolescentes.</t>
  </si>
  <si>
    <t>Implementar entornos  escolares alimentarios saludables en el distrito en las 105 Instituciones Educativas Oficiales de Cartagena.</t>
  </si>
  <si>
    <t>Desarrollar capacidades a 20 CDI y 10 Hogares infantiles en Guías Alimentarias basadas en Alimentos GABAS.</t>
  </si>
  <si>
    <t>Lider de programa nutrición Maria Luisa Villalba Bustillo</t>
  </si>
  <si>
    <t>Tasa de Desnutrición global (bajo peso para la edad) en menores de 5 años (hombres y mujeres)</t>
  </si>
  <si>
    <t>5,4
Fuente: Programa de Nutrición (2019)</t>
  </si>
  <si>
    <t>Mantener por debajo de 5,4 la tasa de desnutrición en menores de 5 años (hombres y mujeres)</t>
  </si>
  <si>
    <t>No se ha realizado calculoNo se ha realizado calculo</t>
  </si>
  <si>
    <t>Indicador de medicion anual</t>
  </si>
  <si>
    <t>Número de establecimientos de alimentos priorizados y vigilados</t>
  </si>
  <si>
    <t>3000
Fuente: Programa IVC alimento (2019)</t>
  </si>
  <si>
    <t>Vigilar anualmente 3.000 establecimientos de alimentos priorizados en el Distrito Cartagena</t>
  </si>
  <si>
    <t>Control y vigilancia de Alimentos en el Distrito de   Cartagena de Indias</t>
  </si>
  <si>
    <t>Disminuir el riesgo de enfermar y/o morir por el consumo de alimentos y bebidas alcohólicas.</t>
  </si>
  <si>
    <t xml:space="preserve">Realizar acciones de IVC a 350 vehículos transportadores de alimentos. </t>
  </si>
  <si>
    <t>Número de EAPB, su red prestadora y usuarios fortalecidos en acciones encaminadas a disminuir la mortalidad materna.</t>
  </si>
  <si>
    <t>20
Fuente: Programa SSR (2019)</t>
  </si>
  <si>
    <t> Ejecutar anualmente acciones encaminadas a disminuir la mortalidad materna con el fortalecimiento en las 20 EAPB, su red prestadora y usuarios</t>
  </si>
  <si>
    <t>Prevención De la mortalidad materna y perinatal  Cartagena de Indias</t>
  </si>
  <si>
    <t>Disminuir la morbimortalidad materna y perinatal en el Distrito de Cartagena</t>
  </si>
  <si>
    <t xml:space="preserve">Claudia Velásquez Aguas Líder de Programa SSR </t>
  </si>
  <si>
    <t>Programa Sexualidad, derechos sexuales y reproductivos</t>
  </si>
  <si>
    <t xml:space="preserve">Desarrollar capacidades anualmente al 100% de las EAPB y su red prestadora en la implementación de la RIA Materno – Perinatal. </t>
  </si>
  <si>
    <t>Tasa de Fecundidad 10 a 14 años</t>
  </si>
  <si>
    <t>3,63%
Fuente: Ministerio de Salud  y Protección Social</t>
  </si>
  <si>
    <t>Disminuir 0,87x1000 la Tasa de Fecundidad especifica en adolescentes de 10 a 14 años</t>
  </si>
  <si>
    <t xml:space="preserve"> 0,87x1000</t>
  </si>
  <si>
    <t>3 x 1000</t>
  </si>
  <si>
    <t>1,92 x 1000</t>
  </si>
  <si>
    <t>en proceso de calculo</t>
  </si>
  <si>
    <t>Calculo de tasa anual, al final del periodo 2021</t>
  </si>
  <si>
    <t>Mejoramiento de la salud sexual y reproductiva de los y las cartageneras en el Distrito de  Cartagena de Indias</t>
  </si>
  <si>
    <t xml:space="preserve">Reducir las tasas de morbilidad y mortalidad relacionada con la sexualidad y la reproducción en la población del Distrito de Cartagena de Indias.
</t>
  </si>
  <si>
    <t xml:space="preserve">Disminuir a menos de 100 el número de embarazos en adolescentes de 10 a 14 años. (Número de embarazos en adolescentes de 10 a 14 años en el año 2019 es de 160). </t>
  </si>
  <si>
    <t>Dirección Operativa de Salud ública</t>
  </si>
  <si>
    <t>Tasa de Fecundidad 15 a 19 años</t>
  </si>
  <si>
    <t>72,87%
Fuente: Ministerio de Salud  y Protección Social</t>
  </si>
  <si>
    <t>Disminuir 47,60x1000 la Tasa de Fecundidad especifica en adolescentes de 15 a 19 años</t>
  </si>
  <si>
    <t xml:space="preserve"> 47,60x1000 l</t>
  </si>
  <si>
    <t>70x1000</t>
  </si>
  <si>
    <t xml:space="preserve"> 45 x1000 </t>
  </si>
  <si>
    <t>Disminuir a menos de 2500 el número de embarazos en adolescentes de 15 a 19 años.</t>
  </si>
  <si>
    <t>Número de  EAPB, su red prestadora vigilada y monitoreada en la aplicación de la estrategia de prevención de embarazo en adolescentes.</t>
  </si>
  <si>
    <t>70
Fuente: Programa SSR (2019)</t>
  </si>
  <si>
    <t xml:space="preserve"> Vigilar y monitorear anualmente las capacidades de 20 EAPB, su red prestadora y 50 instituciones prestadoras de salud a través del desarrollo de una estrategia de prevención de embarazo en adolescentes.</t>
  </si>
  <si>
    <t>Número de EAPB, su red prestadora y usuarios fortalecidas en acciones encaminadas a erradicar la transmisión materno –perinatal de VIH-Sífilis y hepatitis B y C</t>
  </si>
  <si>
    <t>20
Fuente: Programa SSR (2019)</t>
  </si>
  <si>
    <t> Realizar acciones encaminadas a erradicar la transmisión materno –perinatal de VIH-Sífilis y hepatitis B y C con el fortalecimiento en las 20 EAPB, su red prestadora y usuarios.</t>
  </si>
  <si>
    <t>Coordinar con el 100% de las EAPB y su red prestadora acciones de intervenciones colectivas encaminadas a erradicar la transmisión materno –perinatal de VIH-Sífilis y hepatitis B y C, con la participación de sus usuarios.</t>
  </si>
  <si>
    <t>Tasa de Transmisión materno infantil del VIH/Sífilis, sobre el número de niños expuestos</t>
  </si>
  <si>
    <t>0%
Fuente: ASIS (2018)</t>
  </si>
  <si>
    <t>Registrar Tasa de Transmisión materno infantil del VIH/Sífilis, entre 0% y el 2% (sobre el número de niños expuestos )</t>
  </si>
  <si>
    <t>entre 0% y el 2%</t>
  </si>
  <si>
    <t>No programada</t>
  </si>
  <si>
    <t>Número de estrategia intersectorial para promoción de los derechos sexuales y reproductivos implementada.</t>
  </si>
  <si>
    <t>Implementar (1) una estrategia intersectorial para promoción de los derechos sexuales y reproductivos y la adopción e implementación de las Rutas Integrales de atención en Salud Sexual y Reproductiva.</t>
  </si>
  <si>
    <t>Desarrollar en el 100% de las EAPB una estrategia intersectorial para promoción de los derechos sexuales y reproductivos y la adopción e implementación de las Rutas Integrales de atención en Salud Sexual y Reproductiva.</t>
  </si>
  <si>
    <t>Número de EAPB, su red prestadora y usuarios fortalecidas en acciones encaminadas a mejorar la Atención de las Víctimas de Violencia Basada en Género</t>
  </si>
  <si>
    <t>Realizar acciones encaminadas a mejorar las competencias del personal de salud en la Atención Integral en Salud a Víctimas de Violencia de Género en 20 EAPB</t>
  </si>
  <si>
    <t>Capacitar a 1000 funcionarios del sector salud, de las EAPB, en Atención Integral en Salud a Víctimas de Violencia de Género</t>
  </si>
  <si>
    <t>Realizar anualmente 1 movilización social alrededor del apoyo a la garantía y restablecimiento de los derechos en salud a las personas victima de violencia de género</t>
  </si>
  <si>
    <t xml:space="preserve">1 Movilización anual
Fuente: Archivos de la Dimensión de la Sexualidad </t>
  </si>
  <si>
    <t>1 movilización social anual alrededor del apoyo a la garantía y restablecimiento de los derechos en salud a las personas victima de violencia de género</t>
  </si>
  <si>
    <t>Efectuar 1 movilización social en apoyo a la garantía y restablecimiento de los derechos en salud a las personas víctima de violencia de género</t>
  </si>
  <si>
    <t>Mujeres formadas para la Promoción de sus derechos y la igualdad de género</t>
  </si>
  <si>
    <t xml:space="preserve">0
Fuente: Archivos de la Dimensión de la Sexualidad </t>
  </si>
  <si>
    <t>2.000 Mujeres formadas para la Promoción de sus derechos Sexuales y Reproductivos  y la igualdad de género</t>
  </si>
  <si>
    <t>Programa: Vida saludable y enfermedades transmisibles</t>
  </si>
  <si>
    <t>Número de niños y niñas menores de un año vacunados con todos los biológicos del esquema de acuerdo a la edad.</t>
  </si>
  <si>
    <t>16575
Fuente: Sistema de Información PAI (2019)</t>
  </si>
  <si>
    <t>Vacunar anualmente a 17.600 niños y niñas menores de un año con todos los biológicos del esquema de acuerdo a la edad.</t>
  </si>
  <si>
    <t>Prevención y Control de las Enfermedades Inmunoprevenibles en el Distrito de  Cartagena de Indias</t>
  </si>
  <si>
    <t>Disminuir el riesgo de enfermar y morir por enfermedades prevenibles por vacuna a la población de niños y niñas menores de seis años de edad, adolescentes, mujeres en edad fértil y adulto mayor del Distrito de Cartagena de Indi</t>
  </si>
  <si>
    <t>Líder de Programa PAI Edelia Pajaro</t>
  </si>
  <si>
    <t>Número de niños y niñas de un año vacunados con todos los biológicos del esquema de acuerdo a la edad.</t>
  </si>
  <si>
    <t>17082
Fuente: Sistema de Información PAI (2019)</t>
  </si>
  <si>
    <t>Vacunar anualmente a 17.700 niños y niñas de un año con todos los biológicos del esquema de acuerdo con la edad.</t>
  </si>
  <si>
    <t>Número de IPS que prestan el servicio de vacunación con desarrollo de capacidades al recurso humano asistencial en salud en la normatividad, planes y estrategias del PAI</t>
  </si>
  <si>
    <t>70
Fuente: Sistema de Información PAI (2019)</t>
  </si>
  <si>
    <t xml:space="preserve">Desarrollar capacidades del recurso humano asistencial en salud en la normatividad, planes y estrategias del PAI a  70 IPS que prestan el servicio de vacunación. </t>
  </si>
  <si>
    <t>Desarrollar capacidades del recurso humano asistencial en salud en la normatividad, planes y estrategias del PAI a 70 IPS que prestan el servicio de vacunación.</t>
  </si>
  <si>
    <t>Tasa de Letalidad por Dengue</t>
  </si>
  <si>
    <t>Disminuir la Tasa de Letalidad por Dengue a menos del 5%</t>
  </si>
  <si>
    <t>Prevención, promoción , vigilancia y control de enfermedades de transmision vectorial en el Distrito de Cartagena de Indias</t>
  </si>
  <si>
    <t>Disminuir riesgo de enfermar o morir por eventos en salud asociados a la transmisión vectorial en el distrito de Cartagena</t>
  </si>
  <si>
    <t>Porcentaje de implementación de la Estrategia de Gestión Integrada (EGI) para la vigilancia, promoción de la salud, prevención de la enfermedad y control de la ETV</t>
  </si>
  <si>
    <t>70%
Fuente: Sistema de Información PAI (2019)</t>
  </si>
  <si>
    <t xml:space="preserve">Implementar al 100% de sus componentes la Estrategia de Gestión Integrada (EGI) para la vigilancia,  promoción de la salud prevención de la enfermedad y control de la ETV. </t>
  </si>
  <si>
    <t>Desarrollar el 100% de las acciones programadas en el Plan de Intervenciones Colectivas orientadas a la promoción, prevención y control de las enfermedades transmitidas por vectores</t>
  </si>
  <si>
    <t>Evaluar la atención integral de pacientes al 80% de las IPS con mayor notificación de casos de dengue grave.</t>
  </si>
  <si>
    <t>Número de Instituciones prestadoras de salud priorizadas que cuentan con Salas de atención a Enfermedades respiratorias agudas en el Distrito de Cartagena con desarrollo de capacidades técnicas en guías y protocolo.</t>
  </si>
  <si>
    <t>10
Fuente: Progrma IRA  (2019)</t>
  </si>
  <si>
    <t xml:space="preserve">Mantener anualmente las capacidades técnicas en guías y protocolo a   Diez (10) Instituciones prestadoras de salud priorizadas que cuentan con Salas de atención a Enfermedades respiratorias agudas en el Distrito de Cartagena </t>
  </si>
  <si>
    <t>Prevención , manejo y control de la Infección Respiratoria Aguda en niños y niñas menores de cinco años en  Cartagena de Indias</t>
  </si>
  <si>
    <t>Disminuir la morbilidad y mortalidad por infeccion respiratoria aguda en la población de niños y niñas  menores de 5 años en el distrito de cartagena de indias.</t>
  </si>
  <si>
    <t>Disponer de diez (10) Instituciones prestadoras de salud priorizadas que cuentan con Salas de atención a Enfermedades respiratorias agudas en el Distrito de Cartagena que apliquen las guías y protocolos para la atención de las Enfermedades Respiratorias en niños y niñas.</t>
  </si>
  <si>
    <t xml:space="preserve">Lider Programa Infancia e IRA Marily Vivanco Melendez </t>
  </si>
  <si>
    <t>Tasa de Mortalidad IRA en menores de 5 años – casos por 100.000 menores 5 años.</t>
  </si>
  <si>
    <t>32,01
Fuente: Programa IRA  (2019)</t>
  </si>
  <si>
    <t>Reducir a niveles de 28 x 100.000 la Tasa de Mortalidad IRA en menores de 5 años</t>
  </si>
  <si>
    <t xml:space="preserve"> 28 x 100.000 </t>
  </si>
  <si>
    <t>31 x 100.000</t>
  </si>
  <si>
    <t>9.8X100.000</t>
  </si>
  <si>
    <t>En proceso de calculo</t>
  </si>
  <si>
    <t>2,14X 100.000</t>
  </si>
  <si>
    <t xml:space="preserve">Pendiente calcular </t>
  </si>
  <si>
    <t>Número de agentes de cambio (líderes voluntarios AIEPI- EPS) con capacidades en prevención y manejo la Infección respiratoria Aguda</t>
  </si>
  <si>
    <t>150
Fuente: Programa IRA  (2019)</t>
  </si>
  <si>
    <t>Aumentar a 600 los agentes de cambio (líderes voluntarios AIEPI- EPS) en fortalecimiento de  capacidades en prevención y manejo la Infección respiratoria Aguda en menores 5 años.</t>
  </si>
  <si>
    <t>Porcentaje de conformación y fortalecimiento de las organizaciones de base comunitarias (OBC) que apoyen las acciones de prevención y control de la Tuberculosis</t>
  </si>
  <si>
    <t>50%
Fuente: Sistema de Información TB y Lepra (2019)</t>
  </si>
  <si>
    <t>Conformación y fortalecimiento anual del 100% de las organizaciones de base comunitarias (OBC) que apoyen las acciones de prevención y control de la Tuberculosis</t>
  </si>
  <si>
    <t>Prevención y Control de la Tuberculosis en el Distrito de  Cartagena de Indias</t>
  </si>
  <si>
    <t>Disminuir de la incidencia, la mortalidad y los efectos catastróficos  de la Tuberculosis en el Distrito de Cartagena de Indias</t>
  </si>
  <si>
    <t>Dirección Operativa Salud Pública</t>
  </si>
  <si>
    <t xml:space="preserve">Santiago Fadul Perez Líder de programa TB y Lepra </t>
  </si>
  <si>
    <t>Porcentaje implementación del plan de acción de investigación operativa en tuberculosis de la Red Distrital de Investigación operativa y gestión del conocimiento en TB.</t>
  </si>
  <si>
    <t>25%
Fuente: Sistema de Información TB  (2019)</t>
  </si>
  <si>
    <t>Lograr el 100% de la Implementación del plan de acción de investigación operativa en tuberculosis, a 2023.</t>
  </si>
  <si>
    <t>Porcentaje de estudio de contactos con seguimiento para la búsqueda activa de sintomáticos y detección oportuna de casos de Tuberculosis</t>
  </si>
  <si>
    <t>98%
Fuente: Sistema de Información TB  (2019)</t>
  </si>
  <si>
    <t>Aumentar el Seguimiento anual al 100% de los contactos para la búsqueda activa de sintomáticos y detección oportuna de casos de tuberculosis</t>
  </si>
  <si>
    <t>Tasa de Mortalidad por Tuberculosis – Casos por  100.000 Habitantes</t>
  </si>
  <si>
    <t>4,43
Fuente: ASIS (2018)</t>
  </si>
  <si>
    <t> Reducir a 2,21 Casos por  100.000 Habitantes la mortalidad por tuberculosis</t>
  </si>
  <si>
    <t>2,21 Casos por  100.000 Habitantes</t>
  </si>
  <si>
    <t>3,5 Casos por  100.000 Habitantes</t>
  </si>
  <si>
    <t>1,4 Casos por  100.000 Habitantes</t>
  </si>
  <si>
    <t>0,05 Casos por 100.000 habitantes</t>
  </si>
  <si>
    <t>1,72 casos por 100.000 habitantes</t>
  </si>
  <si>
    <t>0,90 casos por 100.000 habitantes</t>
  </si>
  <si>
    <t>0,95 casos por 100.000 habitantes</t>
  </si>
  <si>
    <t>Porcentaje de estudio de convivientes con seguimiento para la detección oportuna de casos de Lepra de acuerdo al protocolo</t>
  </si>
  <si>
    <t>100%
Fuente: Sistema de Información Lepra (2019)</t>
  </si>
  <si>
    <t>Mantener el Seguimiento anual del 100% de convivientes para la detección oportuna de casos de Lepra de acuerdo al protocolo</t>
  </si>
  <si>
    <t>Prevención y Control de la Lepra en el Distrito de  Cartagena de Indias</t>
  </si>
  <si>
    <t>Disminuir la discapacidad grado 2 en personas afectadas por la enfermedad de la lepra en el Distrito de Cartagena.</t>
  </si>
  <si>
    <t>Tasa de Discapacidad Grado 2 Lepra</t>
  </si>
  <si>
    <t>0,1 x 100.000 Habitantes
Fuente: Sistema de Información Lepra (2019)</t>
  </si>
  <si>
    <t>Disminuir la Tasa de Discapacidad Grado 2 a niveles de 0,05 x 100.000 Habitantes</t>
  </si>
  <si>
    <t xml:space="preserve"> 0,05 x 100.000 Habitantes</t>
  </si>
  <si>
    <t xml:space="preserve"> 0,1 x 100.000 Habitantes</t>
  </si>
  <si>
    <t xml:space="preserve">0.00 x 100 000 Habitantes </t>
  </si>
  <si>
    <t>0,02 x 100.000 Habitantes</t>
  </si>
  <si>
    <t xml:space="preserve">0,00 por 100.000 habitantes </t>
  </si>
  <si>
    <t>0,00 por 100.000 habitantes</t>
  </si>
  <si>
    <t>Porcentaje de conformación y fortalecimiento de las organizaciones de base comunitarias (OBC) que apoyen las acciones de prevención y control de la lepra.</t>
  </si>
  <si>
    <t>50%
Fuente: Sistema de Información TB y Lepra (2019)</t>
  </si>
  <si>
    <t xml:space="preserve">Lograr la conformación y fortalecimiento anual del 100% de las organizaciones de base comunitarias (OBC) que apoyen las acciones de prevención y control de la lepra </t>
  </si>
  <si>
    <t>Programa: Salud pública en emergencias y desastres</t>
  </si>
  <si>
    <t>Tasa de  Mortalidad por emergencias y desastres</t>
  </si>
  <si>
    <t>1,27
Fuente: CRUE 2019</t>
  </si>
  <si>
    <t> Reducir a niveles menores a 1 por cada 100.000 habitantes la mortalidad por urgencias, emergencias y desastres.</t>
  </si>
  <si>
    <t xml:space="preserve"> 1 por cada 100.000 habitantes </t>
  </si>
  <si>
    <t xml:space="preserve"> 1 por cada 100.000 habitantes 
</t>
  </si>
  <si>
    <t>Fortalecer la capacidad de gestión integral y la  respuesta en atención de urgencias emergencias y desastres en Cartagena</t>
  </si>
  <si>
    <t>Socializar el Plan Distrital de Gestión de Riesgo de Desastres a 3.520 personas de los sectores Salud, Comunidad y entes transectoriales.</t>
  </si>
  <si>
    <t>Dirección Operativa Vigilancia y Contrl</t>
  </si>
  <si>
    <t>Lider CRUE Alvaro Cruz Quintero</t>
  </si>
  <si>
    <t>Porcentaje de Instituciones con servicios de urgencias aplicando el reglamento sanitario internacional</t>
  </si>
  <si>
    <t>100%
Fuente:CRUE 2019</t>
  </si>
  <si>
    <t>Lograr anualmente que el 100% de Instituciones con servicios de urgencias apliquen el reglamento sanitario internacional</t>
  </si>
  <si>
    <t>Lograr que 29 Instituciones con servicios de urgencias apliquen el reglamento sanitario internacional</t>
  </si>
  <si>
    <t>Porcentaje de Instituciones con servicios de urgencias respondiendo oportunamente ante las emergencias y desastres que enfrenten.</t>
  </si>
  <si>
    <t>100%
Fuente:CRUE 2019</t>
  </si>
  <si>
    <t>100% Instituciones con servicios de urgencias respondiendo oportunamente ante las emergencias y desastres que enfrenten. (29)</t>
  </si>
  <si>
    <t>Lograr que 29 Instituciones con servicios de urgencias respondan oportunamente ante las emergencias y desastres que enfrenten.</t>
  </si>
  <si>
    <t>Verificar que mínimo 29 IPS apliquen las guías o manuales de atención de urgencias, en salud mental, prehospitalario y hospitalario y guías de toxicología en situación de emergencia</t>
  </si>
  <si>
    <t xml:space="preserve">Fortalecer del programa Hospitales Seguros Frente a los Desastres en los Hospitales y Clínicas del Distrito (29 Hospitales </t>
  </si>
  <si>
    <t>Programa: Salud y ámbito laboral</t>
  </si>
  <si>
    <t>Tasa de Accidentalidad en el Trabajo - casos por cada 100 trabajadores</t>
  </si>
  <si>
    <t>5,02
Fuente: DADIS 2019</t>
  </si>
  <si>
    <t>Reducir la tasa de accidentalidad a niveles de 5 casos por cada 100 trabajadores</t>
  </si>
  <si>
    <t>nd</t>
  </si>
  <si>
    <t>Fortalecimiento de la promoción de la salud y seguridad en el entorno laboral de la economía formal e informal del Distrito de  Cartagena de Indias</t>
  </si>
  <si>
    <t>Disminuir los riesgos de presentación accidentes y enfermedades de origen laboral en el sector de la economía formal e informal de Distrito de Cartagena.</t>
  </si>
  <si>
    <t>Desarrollar capacidades al 100% de las ARL para el abordaje de la salud y ámbito laboral en el Distrito de Cartagena.</t>
  </si>
  <si>
    <t>Ana Margarita Sanchez  Vergara</t>
  </si>
  <si>
    <t>Número de visitas de  asistencias técnica relacionadas con el Sistema General de Seguridad y Salud en el Trabajo (SGSST) de conformidad con la normatividad Vigente realizadas a microempresas o macroempresas del Distrito </t>
  </si>
  <si>
    <t>480
Fuente:DADIS 2019</t>
  </si>
  <si>
    <t>Aumentar a  600 el número de visitas de asistencia técnica a microempresas o macroempresas del Distrito de Cartagena para el fortalecimiento y desarrollo de capacidades relacionadas con el Sistema General de Seguridad y Salud en el Trabajo (SGSST) de conformidad con la normatividad Vigente.</t>
  </si>
  <si>
    <t>Desarrollar capacidades a 150 a microempresas y macroempresas del Distrito de Cartagena sobre el SGSST.</t>
  </si>
  <si>
    <t>Número de sinergias y planes de acción con los actores del Distrito</t>
  </si>
  <si>
    <t>28
Fuente:DADIS 2019</t>
  </si>
  <si>
    <t>Aumentar a  36 el número de  actividades de sinergia y Planes de Acción con la coordinación de actores de las instituciones, entidades y otras de los sectores público, privado y comunitario del Distrito para el abordaje de la población trabajadora informal</t>
  </si>
  <si>
    <t>Ejecutar 5 intervenciones colectivas a la población del sector de la economía informal del Distrito Cartagena.</t>
  </si>
  <si>
    <t xml:space="preserve">Porcentaje de Administradoras de Riesgos Laborales desarrollo de capacidades para el fortalecimiento  en temas de salud y ámbito laboral </t>
  </si>
  <si>
    <t>100%
Fuente:DADIS 2019</t>
  </si>
  <si>
    <t xml:space="preserve">Realizar desarrollo de capacidades para el fortalecimiento  en temas de salud y ámbito laboral al 100% de las  Administradoras de Riesgos Laborales (ARL) </t>
  </si>
  <si>
    <t>Número de intervenciones colectivas a la población del sector de la economía informal del Distrito.</t>
  </si>
  <si>
    <t>15
Fuente:DADIS 2019</t>
  </si>
  <si>
    <t>Aumentar a  20 intervenciones colectivas a la población del sector de la economía informal del Distrito.</t>
  </si>
  <si>
    <t>Garantizar y mantener la continuidad de la afiliación de 315.790 mujeres que vienen afiliadas del 2021.</t>
  </si>
  <si>
    <t xml:space="preserve">Garantizar y mantener la continuidad de la afiliación de 274.755 hombres que vienen afiliados del 2021. </t>
  </si>
  <si>
    <t>Garantizar y mantener la continuidad de la afiliación de 120.939 de infantes entre 0 y 11 años de edad, que vienen afiliados del 2021.</t>
  </si>
  <si>
    <t>Garantizar y mantener la continuidad de la afiliación de 65.692 adolescentes, cuyas edades oscilan entre 12 y 17 años, que vienen afiliados del 2021.</t>
  </si>
  <si>
    <t>Realizar auditoría al 100% de las EPS del Distrito de Cartagena de Indias.</t>
  </si>
  <si>
    <t>Afiliar a 3.750 nuevas personas clasificados en los niveles 1 y 2 del SISBEN</t>
  </si>
  <si>
    <t>Enero 1 de 2022</t>
  </si>
  <si>
    <t>100% de las EPS del Distrito</t>
  </si>
  <si>
    <t>3.750 nuevas personas</t>
  </si>
  <si>
    <t>1.2.1.0.00-001 - ICLD</t>
  </si>
  <si>
    <t>1.2.3.3.07-015 - RECURSOS DEL SISTEMA DE SEGURIDAD SOCIAL INTEGRAL - SALUD</t>
  </si>
  <si>
    <t>1.2.3.3.07-049 - RECURSOS DEL SISTEMA DE SEGURIDAD SOCIAL INTEGRAL - SALUD</t>
  </si>
  <si>
    <t>1.2.4.2.01-068 - SGP SALUD REGIMEN SUBSIDIADO</t>
  </si>
  <si>
    <t>AMPLIACIÓN Y CONTINUIDAD DE LA AFILIACIÓN AL RÉGIMEN SUBSIDIADO EN SALUD EN EL DISTRITO DE  CARTAGENA DE INDIAS</t>
  </si>
  <si>
    <t>2.3.1906.0300.2021130010156</t>
  </si>
  <si>
    <t>RECURSOS DEL SISTEMA DE SEGURIDAD SOCIAL INTEGRAL - SALUD</t>
  </si>
  <si>
    <t>SGP SALUD REGIMEN SUBSIDIADO</t>
  </si>
  <si>
    <t>31-RESOLUCION</t>
  </si>
  <si>
    <t>SI</t>
  </si>
  <si>
    <t>Contratación de Prestación de servicios por funcionamiento</t>
  </si>
  <si>
    <t>Ampliación y continuidad de la afiliación al régimen subsidiado en salud en el distrito de  Cartagena de Indias</t>
  </si>
  <si>
    <t>1.3.2.3.02-017 - RF SISTEMA DE SEGURIDAD SOCIAL SALUD</t>
  </si>
  <si>
    <t>1.3.2.2.07-179 RF SGP - SALUD - PRESTACION DE SERVICIOS DE SALUD</t>
  </si>
  <si>
    <t xml:space="preserve"> RF SISTEMA DE SEGURIDAD SOCIAL SALUD</t>
  </si>
  <si>
    <t xml:space="preserve"> RF SGP - SALUD - PRESTACION DE SERVICIOS DE SALUD</t>
  </si>
  <si>
    <t>FORTALECIMIENTO DE LA CALIDAD DE LA ATENCIÓN EN SALUD  PARA LA POBLACIÓN POBRE NO ASEGURADA RESIDENTE  EN EL DISTRITO    CARTAGENA DE INDIAS</t>
  </si>
  <si>
    <t>2.3.1906.0300.2021130010153</t>
  </si>
  <si>
    <t>2.3.1903.0300.2020130010063</t>
  </si>
  <si>
    <t>CONTROL , VIGILANCIA, INSPECCIÓN Y PROMOCIÓN DEL SISTEMA OBLIGATORIO DE GARANTÍA DE LA CALIDAD EN EL DISTRITO DE  CARTAGENA DE INDIAS</t>
  </si>
  <si>
    <t>2.3.1903.0300.2020130010132</t>
  </si>
  <si>
    <t>DESARROLLO INSTITUCIONAL DEL DEPARTAMENTO ADMINISTRATIVO DISTRITAL DE SALUD DE  CARTAGENA DE INDIAS</t>
  </si>
  <si>
    <t>2.3.1903.0300.2021130010150</t>
  </si>
  <si>
    <t>PRESTACIÓN DE SERVICIOS BÁSICOS DE TECNOLOGÍA DE INFORMACIÓN Y COMUNICACIÓN EN SALUD EN EL DEPARTAMENTO ADMINISTRATIVO DISTRITAL DE SALUD DE   CARTAGENA DE INDIAS</t>
  </si>
  <si>
    <t>2.3.1903.0300.2020130010157</t>
  </si>
  <si>
    <t>CONTROL Y VIGILANCIA DE MEDICAMENTOS EN EL DISTRITO DE  CARTAGENA DE INDIAS</t>
  </si>
  <si>
    <t xml:space="preserve">1.2.4.2.02-170 - SGP SALUD PUBLICA </t>
  </si>
  <si>
    <t>2.3.1903.0300.2020130010158</t>
  </si>
  <si>
    <t>CONTROL Y VIGILANCIA DE ALIMENTOS EN EL DISTRITO DE   CARTAGENA DE INDIAS</t>
  </si>
  <si>
    <t>2.3.1905.0300.2020130010151</t>
  </si>
  <si>
    <t>PROGRAMACIÓN DE LA VIGILANCIA EN SALUD PÚBLICA EN EL DISTRITO DE  CARTAGENA DE INDIAS</t>
  </si>
  <si>
    <t>2.3.1905.0300.2021130010157</t>
  </si>
  <si>
    <t>FORTALECIMIENTO DE LA PROMOCIÓN SOCIAL EN SALUD DE LOS GRUPOS POBLACIONALES VULNERABLES Y DE LA PARTICIPACIÓN SOCIAL EN SALUD EN EL DISTRITO DE  CARTAGENA DE INDIAS</t>
  </si>
  <si>
    <t>1.2.3.3.07-016 - RECURSOS DEL SISTEMA DE SEGURIDAD SOCIAL INTEGRAL - SALUD</t>
  </si>
  <si>
    <t>2.3.1905.0300.2021130010168</t>
  </si>
  <si>
    <t>FORTALECIMIENTO DEL CENTRO DE OPERACIONES Y EMERGENCIAS EN SALUD DEL DISTRITO DE  CARTAGENA DE INDIAS</t>
  </si>
  <si>
    <t>2.3.1905.0300.2021130010170</t>
  </si>
  <si>
    <t>FORTALECIMIENTO DE LA GESTIÓN DEL PLAN DE SALUD PÚBLICA EN   CARTAGENA DE INDIA</t>
  </si>
  <si>
    <t>1.2.4.2.02-170 - SGP SALUD PUBLICA</t>
  </si>
  <si>
    <t>1.3.2.2.06-087 - RF SGP SALUD</t>
  </si>
  <si>
    <t>2.3.1905.0300.2020130010177</t>
  </si>
  <si>
    <t>PREVENCIÓN Y PROMOCIÓN DE LA SALUD INFANTIL EN EL DISTRITO DE CARTAGENA DE INDIAS</t>
  </si>
  <si>
    <t>2.3.1905.0300.2020130010150</t>
  </si>
  <si>
    <t>PREVENCIÓN Y PROMOCIÓN DE LA ZOONOSIS EN EL DISTRITO DE  CARTAGENA DE INDIAS</t>
  </si>
  <si>
    <t>2.3.1905.0300.2020130010169</t>
  </si>
  <si>
    <t>CONTROL Y VIGILANCIA DE LA CALIDAD DEL AGUA PARA CONSUMO HUMANO Y DE DIVERSIÓN EN EL DISTRITO DE  CARTAGENA DE INDIAS</t>
  </si>
  <si>
    <t>2.3.1905.0300.2020130010175</t>
  </si>
  <si>
    <t>SANEAMIENTO EN SEGURIDAD SANITARIA DEL AMBIENTE  CARTAGENA DE INDIAS</t>
  </si>
  <si>
    <t>2.3.1905.0300.2020130010130</t>
  </si>
  <si>
    <t>FORTALECIMIENTO DE VIDA SALUDABLE Y ATENCIÓN DE CONDICIONES CRÓNICAS NO TRANSMISIBLES EN EL DISTRITO DE  CARTAGENA DE INDIAS</t>
  </si>
  <si>
    <t>2.3.1905.0300.2020130010144</t>
  </si>
  <si>
    <t>PREVENCIÓN Y CONTROL DE LAS ALTERACIONES DE LA SALUD ORAL  CARTAGENA DE INDIAS</t>
  </si>
  <si>
    <t>2.3.1905.0300.2020130010145</t>
  </si>
  <si>
    <t>PREVENCIÓN Y CONTROL DE LAS ALTERACIONES DE LA SALUD VISUAL  CARTAGENA DE INDIAS</t>
  </si>
  <si>
    <t>2.3.1905.0300.2020130010146</t>
  </si>
  <si>
    <t>PREVENCIÓN Y CONTROL DE SALUD AUDITIVA  CARTAGENA DE INDIAS</t>
  </si>
  <si>
    <t>2.3.1905.0300.2020130010166</t>
  </si>
  <si>
    <t>PREVENCIÓN EN SALUD MENTAL EN EL DISTRITO DE  CARTAGENA DE INDIAS</t>
  </si>
  <si>
    <t>2.3.1905.0300.2020130010072</t>
  </si>
  <si>
    <t>FORTALECIMIENTO DE LA NUTRICIÓN, CONSUMO Y APROVECHAMIENTO DE ALIMENTOS DE LA POBLACIÓN DEL DISTRITO DE  CARTAGENA DE INDIAS</t>
  </si>
  <si>
    <t>2.3.1905.0300.2020130010069</t>
  </si>
  <si>
    <t>MEJORAMIENTO DE LA SALUD SEXUAL Y REPRODUCTIVA DE LOS Y LAS CARTAGENERAS EN EL DISTRITO DE  CARTAGENA DE INDIAS</t>
  </si>
  <si>
    <t>2.3.1905.0300.2020130010070</t>
  </si>
  <si>
    <t>PREVENCIÓN DE LA MORTALIDAD MATERNA Y PERINATAL  CARTAGENA DE INDIAS</t>
  </si>
  <si>
    <t>2.3.1905.0300.2020130010058</t>
  </si>
  <si>
    <t>PREVENCIÓN Y CONTROL DE LA LEPRA EN EL DISTRITO DE  CARTAGENA DE INDIAS</t>
  </si>
  <si>
    <t>2.3.1905.0300.2020130010060</t>
  </si>
  <si>
    <t>PREVENCIÓN Y CONTROL DE LA TUBERCULOSIS EN EL DISTRITO DE  CARTAGENA DE INDIAS</t>
  </si>
  <si>
    <t>2.3.1905.0300.2020130010124</t>
  </si>
  <si>
    <t>PREVENCIÓN Y CONTROL DE LAS ENFERMEDADES INMUNOPREVENIBLES EN EL DISTRITO DE  CARTAGENA DE INDIAS</t>
  </si>
  <si>
    <t>2.3.1905.0300.2020130010164</t>
  </si>
  <si>
    <t>PREVENCIÓN, PROMOCIÓN , VIGILANCIA Y CONTROL DE ENFERMEDADES DE TRANSMISION VECTORIAL EN EL DISTRITO DE CARTAGENA DE INDIAS</t>
  </si>
  <si>
    <t>2.3.1905.0300.2020130010173</t>
  </si>
  <si>
    <t>PREVENCIÓN , MANEJO Y CONTROL DE LA INFECCIÓN RESPIRATORIA AGUDA EN NIÑOS Y NIÑAS MENORES DE CINCO AÑOS EN  CARTAGENA DE INDIAS</t>
  </si>
  <si>
    <t>2.3.1905.0300.2021130010169</t>
  </si>
  <si>
    <t>SERVICIO  DE GESTIÓN INTEGRAL Y RESPUESTA EN SALUD ANTE EMERGENCIAS Y DESASTRES EN EL DISTRITO DE   CARTAGENA DE INDIAS</t>
  </si>
  <si>
    <t>2.3.1905.0300.2020130010129</t>
  </si>
  <si>
    <t>FORTALECIMIENTO DE LA PROMOCIÓN DE LA SALUD Y SEGURIDAD EN EL ENTORNO LABORAL DE LA ECONOMÍA FORMAL E INFORMAL DEL DISTRITO DE  CARTAGENA DE INDIAS</t>
  </si>
  <si>
    <t>Fortalecimiento de la calidad de la atención en salud  para la población pobre no asegurada residente  en el Distrito    Cartagena de Indias</t>
  </si>
  <si>
    <t>Realizar la auditoría de calidad en la prestación a 70 IPS del Distrito con servicios de habilitados de baja, mediana y alta complejidad.</t>
  </si>
  <si>
    <t>Mejorar la Oportunidad en la atención de la consulta de medicina especializada 15 días.</t>
  </si>
  <si>
    <t>Lograr que mínimo 142 servicios de salud habilitados  conformen la red integrada de salud del Distrito de Cartagena</t>
  </si>
  <si>
    <t>Sanear cuentas por pagar de Prestación de Servicios de Salud en un 70%</t>
  </si>
  <si>
    <t>Garantizar la atención en el II y III nivel de los servicios de salud y de los derechos Sexuales y reproductivos de 1.789 mujeres.</t>
  </si>
  <si>
    <t>Garantizar la atención en el I nivel de los servicios de Salud  y  de  derechos Sexual y reproductiva 1.789 mujeres en el Distrito Cartagenera</t>
  </si>
  <si>
    <t>21 - CONTRATOS INTERADMINISTRATIVOS</t>
  </si>
  <si>
    <t>28 - FACTURAS</t>
  </si>
  <si>
    <t>NO</t>
  </si>
  <si>
    <t>8 Lineas</t>
  </si>
  <si>
    <t xml:space="preserve">CONTRATACION DE LA PRESTACION DE LOS SERVICIOS PROFESIONALES  </t>
  </si>
  <si>
    <t>Fortalecimiento de la Promoción Social en Salud de los Grupos Poblacionales Vulnerables y de la Participación Social en Salud en el Distrito de  Cartagena de Indias</t>
  </si>
  <si>
    <t>Fortalecimiento del Centro de Operaciones y Emergencias en Salud del Distrito de  Cartagena de Indias</t>
  </si>
  <si>
    <t>Servicio  de Gestión Integral y Respuesta en Salud ante Emergencias y Desastres en el Distrito de   Cartagena de Indias</t>
  </si>
  <si>
    <t>Fortalecimiento de la Gestión del Plan de Salud Pública en   Cartagena de Indias</t>
  </si>
  <si>
    <t>Incrementar el grado de satisfacción de los usuarios de información en salud</t>
  </si>
  <si>
    <t>Jefe Oficina Asesora de Palneación</t>
  </si>
  <si>
    <t>Mantener en un 100% actualizada, disponible y operativa la plataforma tecnológica de hardware y Software del Departamento Administrativo Distrital de Salud.</t>
  </si>
  <si>
    <t>Garantizar que el 100% de las aplicaciones funcionen utilizando el protocolo seguro de transferencia de información.</t>
  </si>
  <si>
    <t>    Lograr que una (1) Instituciones Prestadoras de Servicios de Salud IPS certifiquen condiciones de habilitación</t>
  </si>
  <si>
    <t xml:space="preserve"> Realizar 2 estudios de investigación en temas del Sistema Obligatorio de Garantía de la Calidad de la Atención en Salud</t>
  </si>
  <si>
    <t>Verificar que cada una de las instituciones a las cuales se les realice inspección vigilancia y control tenga en cuenta en la atención el enfoque de género.</t>
  </si>
  <si>
    <t xml:space="preserve"> RECURSOS DEL SISTEMA DE SEGURIDAD SOCIAL INTEGRAL - SALUD</t>
  </si>
  <si>
    <t>12-CONTRATO DE PRESTACION DE SERVICIOS</t>
  </si>
  <si>
    <t xml:space="preserve"> ICLD</t>
  </si>
  <si>
    <t>12-CONTRATO DE PRESTACION DE SERVICIOS Y 19-CONTRATO DE SUMINISTRO</t>
  </si>
  <si>
    <t>101-CONTRATO INTERADMINISTRATIVO</t>
  </si>
  <si>
    <t>12-CONTRATO DE PRESTACION DE SERVICIOS 21-CONVENIO INTERADMINISTRATIVO</t>
  </si>
  <si>
    <t xml:space="preserve">SGP SALUD PUBLICA </t>
  </si>
  <si>
    <t>SGP SALUD PUBLICA</t>
  </si>
  <si>
    <t>RF SGP SALUD</t>
  </si>
  <si>
    <t xml:space="preserve">GP SALUD PUBLICA </t>
  </si>
  <si>
    <t>Lograr que (12) EAPB Contributivas y Subsidiadas en el Distrito de Cartagena implementen la atención preferencial y diferencial en Grupos Poblacionales Vulnerables</t>
  </si>
  <si>
    <t>Atender y orientar en deberes y derechos en salud a 5.057 víctimas  del  conflicto  armado,  residentes  en  el  Distrito  de cartagena</t>
  </si>
  <si>
    <t>Capacitar en promoción social y reconocimiento de sus Deberes y  Derechos  en  salud  a  6100  personas,  dirigido  a  grupos poblacionales vulnerables y comunidad en general del Distrito de Cartagena.</t>
  </si>
  <si>
    <t>Ejecutar 1 Estrategias de Rehabilitación Basada en Comunidad-RBC en el Distrito de Cartagena.</t>
  </si>
  <si>
    <t>Capacitar en Deberes y Derechos, atención preferencial con enfoque  diferencial  y  Políticas  de  los  grupos  poblacionales vulnerables a 250 funcionarios actores del Sistema General de Seguridad Social en Salud-SGSSS.</t>
  </si>
  <si>
    <t>Impulsar la conformación y/o Renovación de 50 Asociaciones de Usuarios en Salud-ASODEUS en las Entidades Administradoras de Planes de Beneficios (EAPB) e Instituciones Prestadora de servicios en Salud-IPS del Distrito de Cartagena.</t>
  </si>
  <si>
    <t>Atender a 100 personas con discapacidad mediante el suministro de Productos de Apoyo para su habilitación y/o rehabilitación funcional.  (Primera Infancia, Infancia, Adolescencia, Jóvenes y Adultos, Población Negra, Afrocolombiana, Raizal y Palenquera e indigena.</t>
  </si>
  <si>
    <t>Desarrollar anualmente las capacidades técnicas en cuarenta (40) Instituciones prestadoras de salud priorizadas que cuenten con servicios de atención materno - infantil en el Distrito de Cartagena.</t>
  </si>
  <si>
    <t>Mantener Tasa de mortalidad infantil por debajo de 11,7 x1000 niños menor 1 año.</t>
  </si>
  <si>
    <t>11-CONTRATOS INTERADMINISTRATIVOS</t>
  </si>
  <si>
    <t>12-CONTRATO DE PRESTACION DE SERVICIOS 11-CONTRATOS INTERADMINISTRATIVOS</t>
  </si>
  <si>
    <t xml:space="preserve"> SGP SALUD PUBLICA </t>
  </si>
  <si>
    <t xml:space="preserve">Realizar una (1) actualización anual del Mapa de riesgo de calidad del agua para consumo humano </t>
  </si>
  <si>
    <t>Tomar y analizar 900 muestras de agua potable en la red de distribución.</t>
  </si>
  <si>
    <t xml:space="preserve">Realizar 48 actividades de Educación sobre Saneamiento Básico Ambiental, Entornos saludables y Agua a la población de las 15 Unidades Comuneras y zona rural e insular </t>
  </si>
  <si>
    <t>Realizar Inspección, Vigilancia y control sanitario del agua en 400 piscinas</t>
  </si>
  <si>
    <r>
      <t> </t>
    </r>
    <r>
      <rPr>
        <b/>
        <sz val="11"/>
        <color indexed="8"/>
        <rFont val="Calibri"/>
        <family val="2"/>
      </rPr>
      <t>Obtener un Índice de Riesgo de Calidad del Agua (IRCA) menor a 5</t>
    </r>
  </si>
  <si>
    <t xml:space="preserve">12-CONTRATO DE PRESTACION DE SERVICIOS </t>
  </si>
  <si>
    <t xml:space="preserve">Vacunar contra la rabia al 90% de de caninos y felinos susceptibles </t>
  </si>
  <si>
    <t>Realizar acompañamiento a 17 de las EAPB en el proceso de adopción de la estrategia “Conoce tu riesgo, peso saludable” y su aplicabilidad en los entornos educativo, comunitario, institucional y laboral.</t>
  </si>
  <si>
    <t>Desarrollar asistencias técnicas, seguimiento y evaluación al talento humano de las 17 de EAPB y su Red prestadora  en detección temprana y tratamiento oportuno del cáncer de cérvix.</t>
  </si>
  <si>
    <t>Desarrollar asistencias técnicas, seguimiento y evaluación al talento humano de las 17 EAPB y su Red prestadora  en detección temprana y tratamiento oportuno del cáncer de mama.</t>
  </si>
  <si>
    <t>21-CONVENIO INTERADMINISTRATIVO</t>
  </si>
  <si>
    <r>
      <t>Mantener la tasa de muertes prematuras por enfermedades circulatorias entre 30 a 70 años debajo de 113,23 x 100.000</t>
    </r>
    <r>
      <rPr>
        <b/>
        <sz val="11"/>
        <color indexed="8"/>
        <rFont val="Calibri"/>
        <family val="2"/>
      </rPr>
      <t xml:space="preserve"> habitantes</t>
    </r>
  </si>
  <si>
    <r>
      <t xml:space="preserve"> 113 x 100.000</t>
    </r>
    <r>
      <rPr>
        <b/>
        <sz val="11"/>
        <color indexed="8"/>
        <rFont val="Calibri"/>
        <family val="2"/>
      </rPr>
      <t xml:space="preserve"> habitantes</t>
    </r>
  </si>
  <si>
    <r>
      <t xml:space="preserve"> 115 x 100.000</t>
    </r>
    <r>
      <rPr>
        <b/>
        <sz val="11"/>
        <color indexed="8"/>
        <rFont val="Calibri"/>
        <family val="2"/>
      </rPr>
      <t xml:space="preserve"> habitantes</t>
    </r>
  </si>
  <si>
    <r>
      <t xml:space="preserve"> 116 x 100.000</t>
    </r>
    <r>
      <rPr>
        <b/>
        <sz val="11"/>
        <color indexed="8"/>
        <rFont val="Calibri"/>
        <family val="2"/>
      </rPr>
      <t xml:space="preserve"> habitantes</t>
    </r>
  </si>
  <si>
    <r>
      <t xml:space="preserve"> Mantener la Tasa de mortalidad por cáncer infantil por debajo de 2,59 por cada 100</t>
    </r>
    <r>
      <rPr>
        <b/>
        <sz val="11"/>
        <color indexed="8"/>
        <rFont val="Calibri"/>
        <family val="2"/>
      </rPr>
      <t xml:space="preserve"> mil habitantes</t>
    </r>
  </si>
  <si>
    <r>
      <t>2,58 por cada 100</t>
    </r>
    <r>
      <rPr>
        <b/>
        <sz val="11"/>
        <color indexed="8"/>
        <rFont val="Calibri"/>
        <family val="2"/>
      </rPr>
      <t xml:space="preserve"> mil habitantes</t>
    </r>
  </si>
  <si>
    <t>Evaluar mediante un (1) estudio la prevalencia de indice COP en niños menores de 12 años.</t>
  </si>
  <si>
    <t>Realizar anualmente desarrollo de capacidades al Talento Humano de 17 EAPB en materia de enfermedades que impactan la salud auditiva de los niños distrito de Cartagena y  de lineamientos técnicos y operativos según normatividad vigente</t>
  </si>
  <si>
    <r>
      <t>Tasa de mortalidad por suicidio -  casos por cada 100.000 habitantes (primera infancia, infancia, adolescencia, jóvenes y adultos)</t>
    </r>
    <r>
      <rPr>
        <b/>
        <sz val="11"/>
        <color indexed="53"/>
        <rFont val="Calibri"/>
        <family val="2"/>
      </rPr>
      <t xml:space="preserve">  </t>
    </r>
  </si>
  <si>
    <r>
      <t>Disminuir la Tasa de suicidio a menos de 4 casos por cada 100.000 habitantes (primera infancia, infancia, adolescencia, jóvenes y adultos)</t>
    </r>
    <r>
      <rPr>
        <b/>
        <sz val="11"/>
        <color indexed="53"/>
        <rFont val="Calibri"/>
        <family val="2"/>
      </rPr>
      <t xml:space="preserve">  </t>
    </r>
  </si>
  <si>
    <r>
      <t>Porcentaje de EAPB e IPS de salud mental habilitadas en el Distrito con Acompañamiento técnico para el desarrollo de capacidades</t>
    </r>
    <r>
      <rPr>
        <b/>
        <sz val="11"/>
        <color indexed="8"/>
        <rFont val="Calibri"/>
        <family val="2"/>
      </rPr>
      <t xml:space="preserve"> en la atención integral del consumo de sustancias psicoactivas y los problemas y trastornos mentales</t>
    </r>
  </si>
  <si>
    <r>
      <t>Porcentaje de EAPB e IPS de salud mental habilitadas en el Distrito con Acompañamiento técnico para el desarrollo de capacidades</t>
    </r>
    <r>
      <rPr>
        <b/>
        <sz val="11"/>
        <color indexed="8"/>
        <rFont val="Calibri"/>
        <family val="2"/>
      </rPr>
      <t xml:space="preserve"> tendientes a fortalecer la atención integral a las personas con diagnótico con COVID 19, Epilepsia, problemas y trastornos y consumo de sustancias psicoactivas</t>
    </r>
  </si>
  <si>
    <r>
      <t>Realizar anualmente acompañamiento tecnico al 100% de EAPB e IPS de salud mental habilitadas en el Distrito  para el desarrollo de capacidades</t>
    </r>
    <r>
      <rPr>
        <b/>
        <sz val="11"/>
        <color indexed="8"/>
        <rFont val="Calibri"/>
        <family val="2"/>
      </rPr>
      <t xml:space="preserve"> tendientes a fortalecer la atención integral a las personas con diagnótico con COVID 19, Epilepsia, problemas y trastornos y consumo de sustancias psicoactivas</t>
    </r>
  </si>
  <si>
    <t xml:space="preserve"> Mantener el Desarrollo de capacidades a 40 IPS y EAPB en estrategia IAMI y Consejería en Lactancia.</t>
  </si>
  <si>
    <t>Mantener por debajo de 5.4 % la desnutrición global (bajo peso para la edad) en menores de 5 años</t>
  </si>
  <si>
    <t>Desarrollo de capacidades a talento humano de 30 instituciones educativas priorizadas sobre implementación de guías alimentarias establecidas a nivel nacional</t>
  </si>
  <si>
    <t>Vigilar y controlar el cumplimiento de las normas vigentes en 2.600 establecimientos preparadores y comercializadores de alimentos y bebidas alcohólicas, servicios de alimentación y similares.</t>
  </si>
  <si>
    <t>Realizar 100 toma de muestras de alimentos de alto riesgo en salud pública disponible para el consumo monitoreadas.</t>
  </si>
  <si>
    <t>Intervenir a 50 establecimientos expendedores y comercializadores de carnes en el marco del Plan de carnes para el Distrito.icidad</t>
  </si>
  <si>
    <t>Realizar 1000 inspecciones sobre productos alimenticios y bebidas en puntos de entrada, importados y publicidad</t>
  </si>
  <si>
    <t>Realizar acciones de aseguramiento de cadena productiva en 1000 establecimientos de alimentos, bebidas alcohólicas, puestos de ventas de alimentos de la vía pública y en puntos de entrada nacional, sobre la normatividad sanitaria vigente</t>
  </si>
  <si>
    <t xml:space="preserve">Realizar 20 cursos de manipulación higiénica de alimentos a ventas de alimentos a puntos de venta de la vía pública y otros priorizados.
</t>
  </si>
  <si>
    <t>Diseñar y ejecutar una campaña publicitaria para prevención de Enfermedades Transmitidas por Alimentos e Intoxicaciones por bebidas alcohólicas.</t>
  </si>
  <si>
    <t>Realizar desarrollo de capacidades a 150 médicos de la red prestadora</t>
  </si>
  <si>
    <t>Realizar anualmente 1 estrategias de intervenciones colectivas dirigidas a la población gestante y mujeres en edad fértil del Distrito de Cartagena</t>
  </si>
  <si>
    <t>Realizar el análisis del 100% de los casos de mortalidad materna</t>
  </si>
  <si>
    <t xml:space="preserve">Desarrollar capacidades al 100%  EAPB e IPS en Rutas Integrales de Atención en salud, protocolos y Guías de Práctica Clínica a través del desarrollo de una estrategia de prevención de embarazo en adolescentes. </t>
  </si>
  <si>
    <t>Desarrollo de capacidades al 100% de las EAPB y su red prestador para mantener la Tasa de Transmisión materno infantil del VIH/Sífilis, entre 0% y el 2% (sobre el número de niños expuestos)</t>
  </si>
  <si>
    <t>Formar a 1000 mujeres en prácticas y conductas protectoras para el ejercicio de una salud sexual y reproductiva sana, segura, responsable y placentera.</t>
  </si>
  <si>
    <t>Aplicar todos los biológicos del esquema a 17.600 niños y niñas menores de un año</t>
  </si>
  <si>
    <t>Vacunar a 17.700 niños y niñas de un año con todos los biológicos del esquema de acuerdo con la edad</t>
  </si>
  <si>
    <t>12-CONTRATO DE PRESTACION DE SERVICIOS 11-CONTRATOS INTERADMINISTRATIVOS 19-CONTRATO DE SUMINISTRO</t>
  </si>
  <si>
    <t>Implementar el 100% de los componentes de la Estrategia de Gestión Integral para el control de enfermedades transmitidas por vectores en el Distrito de Cartagena.</t>
  </si>
  <si>
    <r>
      <t xml:space="preserve">5%                               </t>
    </r>
    <r>
      <rPr>
        <b/>
        <sz val="11"/>
        <color indexed="8"/>
        <rFont val="Calibri"/>
        <family val="2"/>
      </rPr>
      <t>Fuente: ASIS (2018)</t>
    </r>
  </si>
  <si>
    <t xml:space="preserve">Realizar acciones de desarrollo capacidades  al 100% de Empresas administradoras de planes de beneficios y  red prestadora de servicios de salud  que atienden población Infantil. </t>
  </si>
  <si>
    <t>Realizar anualmente  acciones de Educación para la Salud  a 150  Voluntarios como agentes de cambio (Lideres y lideresas, actores claves en la comunidad)   en   la prevención y manejo la Infección respiratoria Aguda en menores 5 Años en los entornos hogar y comunitario.</t>
  </si>
  <si>
    <t xml:space="preserve">12-CONTRATO DE PRESTACION DE SERVICIOS 11-CONTRATOS INTERADMINISTRATIVOS </t>
  </si>
  <si>
    <t>1. Reducir a 2,21 Casos por  100.000 Habitantes la mortalidad por tuberculosis</t>
  </si>
  <si>
    <t>2. Conformación y fortalecimiento anual del 100% de las organizaciones de base comunitarias (OBC) que apoyen las acciones de prevención y control de la Tuberculosis</t>
  </si>
  <si>
    <t>3.  Lograr el 100% de la Implementación del plan de acción de investigación operativa en tuberculosis, a 2023.</t>
  </si>
  <si>
    <t>4.Aumentar el Seguimiento anual al 100% de los contactos para la búsqueda activa de sintomáticos y detección oportuna de casos de tuberculosis.</t>
  </si>
  <si>
    <t>2,21 CASOS</t>
  </si>
  <si>
    <t>Realizar la Vigilancia en salud pública a través de la  Investigación de campo, estudio de contactos y convivientes del 100% de los  pacientes paucibacilares y multibacilares inscritos en el programa de control de la Lepra.</t>
  </si>
  <si>
    <t>Implementar una estrategia de información en salud  para la Eliminación y Control de la Lepra</t>
  </si>
  <si>
    <t>Realizar tres (3) acciones en el Proceso de Coordinación Intersectorial, para la conformación y mantenimiento de  organizaciones de base comunitaria.</t>
  </si>
  <si>
    <t>99-CONTRATO DE SERVICIOS</t>
  </si>
  <si>
    <t>Realizar  9 acciones de sinergias y planes de acción con los sectores: públicos, privados y comunitarios para promoción de la salud y prevención de la enfermedad en los entornos laborales informales del Distrito de Cartagena</t>
  </si>
  <si>
    <t>Porcentaje de avance</t>
  </si>
  <si>
    <t>REPORTE ACTIVIDADES DE PROYECTO ENERO - MARZO 2022</t>
  </si>
  <si>
    <t>1.-CARPETA CON ACTAS DE VISITAS DE CALIDAD A LAS IPS REALIZADAS EN EL TRIMESTRE</t>
  </si>
  <si>
    <t>8, PAGOS A IPS. Reporte de  pago</t>
  </si>
  <si>
    <t>6,- RELACION DE AUTORIZACIONES DADAS A MUEJRES PARA SU ATENCION EN SEGUNDO Y TERCER NIVEL DE COMPLEJIDAD, ES EL 100% DE LAS SOLICITUDES REALIZADAS EN EL TRIMESTRE</t>
  </si>
  <si>
    <t>7,- RELACION DE AUTORIZACIONES DADAS A MUEJERES PARA SU ATENCION EN EL PRIMER NIVEL DE COMPLEJIDAD, ES EL 100 % DE LAS SOLICITUDES REALIZADAS EN EL TRIMESTRE</t>
  </si>
  <si>
    <t>-</t>
  </si>
  <si>
    <t>se realizaron las siguientes contrataciones con el fin de cubrir las 08 lineas de maites 68-2781-2561-2560-3200-698-2340-2559-2562-2337-2338-2554-2563-2557-2979-2339-2336-2558-2553-3176-30503048-3142-3049 (depurando las bases del regimen subsidiado, atender los derechos de peticio y realizar auditoria y autorizacion concurrente</t>
  </si>
  <si>
    <t>contratos 677-693-700-373-685-707-372-681-683-374-375-680-695-703-699-708-702-716-691-696-376-707-2556-2552-3047 que permiten hacer el reporte financiero</t>
  </si>
  <si>
    <t>mensual se esta realizando reuniones y consejos de gobierno, se desarrollo una jornada por oficina para reinduccion y programacion de tareas</t>
  </si>
  <si>
    <t>Plataforma actualizada disponible y operativa en un 100% para el periodo</t>
  </si>
  <si>
    <t>A la fecha el 46% de las aplicaciones utilzan el protocolo de seguridad</t>
  </si>
  <si>
    <t>57 Instituciones</t>
  </si>
  <si>
    <t>REPORTE META PRODUCTO ENERO - MARZO 2022</t>
  </si>
  <si>
    <t>315.790 mujeres que vienen afiliadas</t>
  </si>
  <si>
    <t xml:space="preserve"> 274.755 hombres que vienen afiliados</t>
  </si>
  <si>
    <t>120.939 de infantes entre 0 y 11 años de edad,</t>
  </si>
  <si>
    <t>65.692 adolescentes, cuyas edades oscilan entre 12 y 17 años</t>
  </si>
  <si>
    <t xml:space="preserve">La informacion de vacunados durante el mes de marzo esta incluida pero es parcial porque aun faltan IPS por reportar y tienen plazo hasta el 10 de cada mes </t>
  </si>
  <si>
    <t>23.4%</t>
  </si>
  <si>
    <t xml:space="preserve">28 x 100.000 </t>
  </si>
  <si>
    <t>Cumplimiento Metas de Bienestar Enero a Dicieembre de 2021</t>
  </si>
  <si>
    <t>se cumplio actividades a corte 31 de marzo</t>
  </si>
  <si>
    <t>FORMATO PLAN DE ACCIÓN
DEPENDENCIA: DADIS 2022
VIGENCIA 2022</t>
  </si>
  <si>
    <t>11,7 por 1,000</t>
  </si>
  <si>
    <t>71,4 por 100.000</t>
  </si>
  <si>
    <t>REPORTE ACTIVIDADES DE PROYECTO ABRIL - JUNIO 2022</t>
  </si>
  <si>
    <t xml:space="preserve">Con corte a 31 de diciembre de 2021 se encontraban afiliadas al Régimen Subsidiado en Salud 317.017 personas del genero femenino y a 30 de junio de 2022, las afiliadas son 334.958, lo que quiere decir que la continuidad de la afiliación al Régimen Subsidiado en Salud fue garantizada a este número de afiliadas que vienen del año 2021 y a 17.941 mujeres más.   Logrando un avance de 105,66%.        VICTIMAS (HOMBRES Y MUJERES):   59.625 </t>
  </si>
  <si>
    <t>Con corte a 31 de diciembre de 2021 se encontraban afiliadas al Régimen Subsidiado en Salud 277.141 personas del genero masculino y a 30 de junio de 2022, los afiliados son 295.729 lo que quiere decir que la continuidad de la afiliación al Régimen Subsidiado en Salud fue garantizada a este número de afiliados que vienen del año 2021 y a 18.588 personas más.   Logrando un avance de 106,71% .</t>
  </si>
  <si>
    <t>Con corte a 31 de diciembre de 2021 se encontraban afiliados al Régimen Subsidiado en Salud 121.314 infantes entre 0 y 11 años de edad y a 30 de junio de 2022, los afiliados son 126.159 lo que quiere decir que la continuidad de la afiliación al Régimen Subsidiado en Salud fue garantizada a este número de afiliados que vienen del año 2021 y a 4.845 infantes más.   Logrando un avance de 103,99% .</t>
  </si>
  <si>
    <t>Con corte a 31 de diciembre de 2021 se encontraban afiliados al Régimen Subsidiado en Salud 65.990 adolescentes entre 12 y 17 años de edad y a 30 de junio de 2022, los afiliados son 68.744 lo que quiere decir que la continuidad de la afiliación al Régimen Subsidiado en Salud fue garantizada a este número de afiliados que vienen del año 2021 y a 2.754 adolescentes más.   Logrando un avance de 104,17% .</t>
  </si>
  <si>
    <t>La Circular Externa 000001 del 9 de enero de 2020, expedida por la Superintendencia Nacional de Salud, establece la obligatoriedad por parte del ente territorial de la adopción e implementación de la nueva guia de auditoría llamada GAUDI, la cual estipula que las auditorias son semestrales y la existencia de unos plazos para cargar el informe en la plataforme.   Debido a la Pandemia por Covid-19, la implementación de la Guía de Auditoría y el informe de Auditoría - GAUDI, definido en la Circular 001 de 2020, fue aplazada y en consecuencia la Superintendencia Nacional de Salud, mediante comunicación  identificada con NURC 2-2020-51736 dirigió a la dirección del DADIS, instrucciones y precisó los criterios de seguimiento a las EPS durante la vigencia 2020, en el marco de las Resoluciones 521 y 536 de 2020.   Dentro de las directrices impartidas mediante la comunicación antes enunciada, se establece que la Dirección Distrital debía consolidar los hallazgos evidenciados en el proceso de seguimiento a las EPS de la jurisdicción de manera semestral, por lo cual, para el primer (1º) y segundo (2)semestre de 2021, los criterios a evaluar y la presentación de los consolidados deben responder a los contenidos en la matriz definida en el oficio Radicado No. 202144200008491 de fecha 18-01-2021.   A 30 de junio de 2022, el informe final de auditoria ya fue enviado a la Supersalud.   Logrando un avance de 100% de auditoría a las EAPB.</t>
  </si>
  <si>
    <t xml:space="preserve">En el primer trimestre de 2022, se afiliaron 1.899 nuevas personas al Régimen Subsidiado en Salud y en el segundo trimeste se afiliaron 2.632 para un acumulado de 4.531 NUEVAS PERSONAS afiladas, lo que equivale al 120,83% sobre la cantidad proyectada para el año 2022, que fue de 3.750 afiliados. </t>
  </si>
  <si>
    <t>REPORTE META PRODUCTO ABRIL  - JUNIO 2022</t>
  </si>
  <si>
    <t>se realizo la encuesta de satifisaccion de usuarios  correspondiente al primer semestre donde el porcentaje de satisfaccion del usuario es del 93%</t>
  </si>
  <si>
    <t>En el trimestre de Abril a Junio del 2022 se continuo realizando las asistencias técnicas, y seguimientos de los avances en el cumplimiento de los requisitos para la certificación en habilitación de las IPS priorizadas, se logra certificar a la IPS Boston Medical Care/ Convatec en el cumplimiento de las condiciones de habilitación acorde a la Resolución 3100 de 2019El consolidado  del  primer semestre del 2022 , se evidencia un  avance en la meta de un 100%</t>
  </si>
  <si>
    <t>De abril a junio de 2022, se validaron en el Registro Especial de Prestadores de Servicios de Salud 21 inscripciones de prestadores, los cuales cumplieron con los requisitos establecidos en la Resolución 3100 de 2019, quedando gestionado el 100% de las inscripciones.Se recibieron 55 solicitudes de trámite de inscripción de prestadores de servicios de salud, de los cuales después de revisar el cumplimiento de los requisitos establecidos en Resolución 3100 de 2019, quedando 21 prestadores nuevos inscritos en el Registro Especial de Prestadores de Servicios de Salud. El Consolidado de primer semestre de 2022 es de 30 inscripciones de prestadores de servicios de salud, los cuales cumplieron con los requisitos establecidos en la Resolución 3100 de 2019, quedando un porcentaje del 100% de las inscripciones gestionadas.</t>
  </si>
  <si>
    <t xml:space="preserve">En el trimestre  de abril a junio del 2022 se han emitido tres (3) fallos que resolvieron los procesos administrativos sancionatorios.
 Avance del 22% de la meta establecida para fallos (sanciones), en lo que respecta al primer semestre de 2022.el consolidado del primer semestre de 2022, es de 45 procesos administrativos sancionatorios aperturado , 3 fallos y  un 22% de avance en la meta establecida
Dentro las actividades desarrolladas en esta meta, en lo que va corrido del segundo trimestre ,se han aperturado 26 procesos administrativos sancionatorios originados en visitas inspectivas de quejas, búsqueda activa y en visitas de inspección, vigilancia y control, los cuales se encuentran en etapa probatoria, es decir, se han expedido autos de formulación de cargos contra los prestadores incumplidos, se han notificado, se han recibidos descargos y material probatorio de cada sujeto investigado.
</t>
  </si>
  <si>
    <t xml:space="preserve">De abril a junio de 2022, existían 1.445 IPS que representan el 100%. La meta para la vigencia 2022 se estableció en el 25%, lo representa 361 IPS. Por competencias, en el segundo trimestre de 2022 se realizaron visitas previas a 17 IPS. En dichas visitas verificó el cumplimiento de las condiciones de habilitación para prestar servicios de salud.
La Resolución No 856 de 29 de mayo de 2020 Art 7, expedida por el Ministerio de Salud y Protección Social, el cual señala lo siguiente: “Suspensión del plan de visitas de verificación. a los prestadores de servicios de salud, formulado por la secretaria de salud departamental y Distrital, hasta que finalice la emergencia sanitaria. No obstante, las 14 visitas que se realizaron se llevaron a cabo con el propósito de ampliar la red de prestadores de servicio del Distrito de Cartagena.
El consolidad del primer semestre es 24 visitas previas que representa 7% de la meta establecida 
</t>
  </si>
  <si>
    <t xml:space="preserve">En el trimestre de abril a junio 2022; se pudo descargar en la página de MOCA los indicadores de calidad del 3 y 4 trimestre de 2021, por lo que se realiza un seguimiento al cargue, encontrado que 176 prestadores no realizaron cargue de los cuales se pudo realizar seguimiento efectivo a 80 IPS, de estas 40 tenían soporte de haber hecho el cargue éxito, las otras 40 se encuentras discriminadas de la siguiente manera, 39 no hicieron reporte, y 1 no existe en el sitio de residencia.
Del resultado de esta auditoria se escogieron las 30 IPS a las cuales se le realizará las visitas de seguimiento y acompañamiento. 
</t>
  </si>
  <si>
    <t xml:space="preserve">De abril a junio del 2022, Se realizaron visitas 12 IPS para evaluar el proceso de Mantenimiento Hospitalario y Tecnología Biomédica.
Las IPS visitadas para evaluar el proceso de Mantenimiento Hospitalario y Tecnología Biomédica fueron las siguientes: nuevo hospital Bocagrande, Clínica san José de Torices , Clínica la ermita-sede la Concepción, uci del caribe , laboratorio Eduardo Fernández ( 2 sedes ), Laboratorio Eduardo Fernández e hijos , laboratorio  Clínico santa lucia .
 De enero a junio del 2022, se han realizado 24 visitas de evaluación del Mantenimiento Hospitalario y Tecnología Biomédica, correspondiente al 40% de la meta inicial planteada.
</t>
  </si>
  <si>
    <t xml:space="preserve">La Dirección Operativa de Vigilancia y Control (DOVC) del DADIS en los meses de Abril a Junio de 2022 se ha realizado cinco (5) visitas de IVC a instituciones prestadoras de servicio de salud.,Durante los meses de Abril a Junio de 2022 se ha realizado cinco (5) visitas de IVC a las siguientes instituciones prestadoras de servicio de salud Clínica Blas de Lezo, Meditrans soluciones integrales Ltda, Cedimagen, Higea y  clínica Ermita. 
De acuerdo a las evaluaciones realizada y plasmadas en cada uno de los informes de las instituciones evaluadas en el primer semestre, el porcentaje de los ítems incumplidos por los prestadores evaluados a fecha son: modelo de Atención (27%) PAMEC (36%), Infraestructura (82%), Equipos Biomédicos (55%), Educación al Talento Humano (45%), Objetivos del servicio Farmacéutico (18%), indicadores del servicio Farmacéutico (9%), seguridad al paciente (27), indicadores de calidad (9%), sistema de información (9%); Representando en total el 91% que corresponde a los siete (10) ítems incumplidos  frente a los once (11) definidos y  evaluados. El consolidado del  primer semestre de 2022  : Se han realizado nueve (9) visitas de Inspección Vigilancia y Control (IVC) representando un 60% de cumplimiento, de acuerdo a la meta planteada anualmente que corresponde a quince (15) vistas anuales. De las nueve (9) visitas realizadas dos (2) fueron seguimiento a plan de acción, resultantes de visitas de IVC de 2021.
</t>
  </si>
  <si>
    <t xml:space="preserve">La Dirección Operativa de Vigilancia y Control (DOVC) del DADIS en los meses de Abril a Junio de 2022 se ha realizado cinco (5) visitas de IVC a instituciones prestadoras de servicio de salud verificando que su proceso de atención tenga en cuenta el enfoque de genero.
El consolidado del  primer semestre de 2022  : Se han realizado nueve (9) visitas de Inspección Vigilancia y Control (IVC) representando un 60% de cumplimiento, de acuerdo a la meta planteada anualmente que corresponde a quince (15) vistas anuales. 
De las nueve (9) visitas de Inspección Vigilancia y Control realizadas; cinco (5) prestadores en su modelo de atención tienen contemplado una atención con enfoque diferencial.  
</t>
  </si>
  <si>
    <t>El 100% de los que solicitaron (21)</t>
  </si>
  <si>
    <t>El 100% de los que solicitaron (9)</t>
  </si>
  <si>
    <t xml:space="preserve">Evidencias: Actas con el detalle de servicios prestados por OPS firmadas y publicadas.
</t>
  </si>
  <si>
    <t xml:space="preserve">Plataforma Actualizada,  disponible y operativa en 100% para el periodo. </t>
  </si>
  <si>
    <t>Durante el segundo trimestre del 2022 se mantuvo actualizada el 100% de la plataforma tecnológica del Departamento Administrativo Distrital de Salud – Dadis.
Evidencias: Actas con el detalle de servicios prestados por OPS firmadas y publicadas.</t>
  </si>
  <si>
    <t>Se está gestionando la adquisición de los certificados de seguridad SSL para el 100% de las aplicaciones instaladas en el DADIS.</t>
  </si>
  <si>
    <t>Se notificó a la oficina asesora de informática de la alcaldía de Cartagena la necesidad de renovación de los certificados de seguridad y se está gestionando su adquisición.</t>
  </si>
  <si>
    <t>1 Espaco desarrollado</t>
  </si>
  <si>
    <t>1397 alertas tempranas captadas</t>
  </si>
  <si>
    <t>Se participó en el desarrollo de dos (2) Salas de Análisis del Riesgo-SAR</t>
  </si>
  <si>
    <t xml:space="preserve">Para el primer semestre esta meta se cumplió en un 100%, mediante el monitoreo de medios de comunicación y redes, se rastrearon 2193 noticias que son tendencias por su impacto en la salud pública, que puedan representar situaciones de emergencias y/o amenazas desde el orden Internacional, Nacional y local.  </t>
  </si>
  <si>
    <t>Durante el primer semestre el equipo de gestión Integral del riesgo, participó en el desarrollo de cuatro (4) Salas de Análisis del Riesgo-SAR, para la identificación, clasificación del nivel de respuesta, la modificación, comunicación y evaluación de riesgo, que permitieron el cumplimiento del 100% en los análisis de la situación de tiempo real en situaciones de Brotes y emergencias y desastres registradas ( Viruela de simio,  analisis de riesgo de emergencias y desatres por temporada invernal,  brotes de varicela y germen no especificado.</t>
  </si>
  <si>
    <t>Se logró establecer 4 espacios de articulación Intersectorial alcanzando un cumplimiento del 100% de esta meta para el primer semestre, que permiten el fortalecimiento de los procesos de la Gestión Integral del Riesgo en Salud Publica en los siguientes escenarios: Sector turístico, hotelero y puertos; zona industrial, en población privada de la Libertad: EPMSC Cartagena cárcel de ternera y cárcel Distrital de Mujeres; y con las Alcaldías locales del Distrito..</t>
  </si>
  <si>
    <t>Actividad que en la actualidad no cuenta con recursos disponibles para garantizar las ordenes de valoracion de certificacion de discapacidad.</t>
  </si>
  <si>
    <t>Actividad que se viene realizando con el recurso humano de planta, se proyecta el cumplimiento de la meta en el siguiente trimestre.</t>
  </si>
  <si>
    <t>Actividad que se viene realizando con el recurso humano de planta y contratista, que para el siguiente trimestre la meta podra verse afecta en su cumpliento debido que no se cuenta con recurso humano contratado (OPS).</t>
  </si>
  <si>
    <t>Actividad que en la actualidad no cuenta con recursos disponibles para el cumplimiento de la meta.</t>
  </si>
  <si>
    <t>A la fecha se han cancelado $1.035.070.509 de $4.921.760.917,34</t>
  </si>
  <si>
    <t>2,- ACTAS DE INFORMES DE AUDITORIA CONCURRENTE REALIZADAS POR AUDITORES.            SE OBSERVA UN BUWEN RESULTADO DE 8.2 DIAS, EN DONDE EL MAXIMO ES 15, ACLARANDO QUE ENTRE MENOS DIAS MEJORES EL INDICADOR</t>
  </si>
  <si>
    <t>3,- CERTIFICADOS DE HABILITACION DE LAS ESES RADICADAS EN CARTAGENA DE INDIAS.                                                                                                                                                         4, COPIAS DE MUESTRAS DE AUTORIZACIONES DADAS PARA GARANTIZAR LA ATENCION.                                                                            5, MATRIZ DE AUTORIZACIONES DADAS EN EL TRIMESTRE ABRIL A JUNIOO DE 2022</t>
  </si>
  <si>
    <t>142 Serviccios garantizados</t>
  </si>
  <si>
    <t>Evidencias en el Link</t>
  </si>
  <si>
    <t>Se realiza el seguimiento a 106 UPGD, de las disponibles en el distrito de Cartagena.</t>
  </si>
  <si>
    <t>se inicio el plan de implementación del componente de Salud Pública en el marco del Modelo de Acción Integral Territorial (MAITE)</t>
  </si>
  <si>
    <t>se mantienen inscritos y actualizados los 22 Proyectos de inversion de Salud Pública en el banco de Proyectos Distrital y en la MGA WEB</t>
  </si>
  <si>
    <t xml:space="preserve">Se ha venido desarrollando la implementacion de la Rutas de Promoción y Mantenimiento de la Salud en el cuatrienio </t>
  </si>
  <si>
    <t>Actividad PIC, en proceso contractual</t>
  </si>
  <si>
    <t>A fecha de 30 de mayo de 2022, se disponen de 21 Instituciones Prestadoras de Salud, que implementan Modelos y Rutas Integrales de Atención en salud en niños y niñas y aplican protocolos, guías y estrategias de salud infantil con resultados orientados a la calidad y humanización, lo que corresponde al 52.5%</t>
  </si>
  <si>
    <t>Se anexa boletin epidemiologico donde se reporta 1 caso de mortalidad por IRA en el SIVIGILA a PE V de 2022.</t>
  </si>
  <si>
    <t>El documento y la Resolución de la Revisión y Actualización del Mapa de Riesgo de la calidad del agua para consumo humano del sistema de acueducto del Distrito de Cartagena correspondiente al año 2022 están proyectados a elaborar en el último trimestre del presente año, después de la realización de las actividades que la constituyen.</t>
  </si>
  <si>
    <t>En el Segundo trimestre 2022 se tomaron las muestras de agua en la red de distribución del acueducto y fueron analizadas por el laboratorio dptal de salud pública de Bolívar según lo planificado.</t>
  </si>
  <si>
    <t>Hasta el segundo trimestre 2022 no se ha contratado el Plan de Intervenciones Colectivas (PIC).</t>
  </si>
  <si>
    <t>Las actividades de educación sobre saneamiento básico ambiental, entornos saludables y agua en el primer y segundo trimestre fueron realizadas por el talento humano contratado de gestión (Karla Mora y Antonio Lobo) con el fin de cumplir con la meta rezagada del año 2021. Hasta el segundo trimestre 2022 no se ha contratado el Plan de Intervenciones Colectivas (PIC).</t>
  </si>
  <si>
    <t>En el Segundo trimestre 2022 se realizaron las visitas sanitarias a las piscinas del Distrito de Cartagena según lo planificado.</t>
  </si>
  <si>
    <t>https://alcart-my.sharepoint.com/:f:/g/personal/ssadadis_cartagena_gov_co/Emsdy6H_N6BItVulYDUSAYABFc9p7K99N_qQRXhTFsFyQg?e=UsMP41</t>
  </si>
  <si>
    <t>Esta actividad corresponde al PICSP, cuya contratación no se ha inciado aún.</t>
  </si>
  <si>
    <t>Evidencias en el sigueinte link: https://alcart-my.sharepoint.com/:f:/g/personal/ssadadis_cartagena_gov_co/Emsdy6H_N6BItVulYDUSAYABFc9p7K99N_qQRXhTFsFyQg?e=PcZ4Yd</t>
  </si>
  <si>
    <t xml:space="preserve"> Evidencias en el sigueinte link: https://alcart-my.sharepoint.com/:f:/g/personal/ssadadis_cartagena_gov_co/Emsdy6H_N6BItVulYDUSAYABFc9p7K99N_qQRXhTFsFyQg?e=PcZ4Yd</t>
  </si>
  <si>
    <t>A la fecha se encuentran habilitadas 15 EAPB, de las cuales se han realizado asistencias tecnicas a 7 de ellas. Por lo anterior el porccentaje de cumplimiento para eta indicador es de 47%. En este periodo se establecio fortalecer el entorno comunitario.
https://alcart-my.sharepoint.com/:f:/g/personal/ecntdadis_cartagena_gov_co/Eq6VfVtAcRpFjg1tkQ2MDYoB9GKRXl_ZbNkFdj-r6gDqCg?e=mkasUl</t>
  </si>
  <si>
    <t>https://alcart-my.sharepoint.com/:f:/g/personal/ecntdadis_cartagena_gov_co/Eq6VfVtAcRpFjg1tkQ2MDYoB9GKRXl_ZbNkFdj-r6gDqCg?e=mkasUl</t>
  </si>
  <si>
    <t>35.2%</t>
  </si>
  <si>
    <t>El indice de COP esta en 1.7 según Fuente de reporte de EAPB.</t>
  </si>
  <si>
    <t>La implementación de las dos políticas públicas se ejecuta con el cumplimiento de tres hitos que establece el Minsalud, en este primer semestre del 2022 se concretaron de la siguiente manera:
Hito 1: Creado el Consejo Distrital de Salud Mental y Drogas - Decreto 1654 del 31 de dic/2020
- 9 de marzo: 1a Sesión: Instalación del CDSMD y conformación de Comisión para la formulación del Reglamento Interno del Consejo, la cual sesionó tres veces elaborando el reglamento interno a presentar en la próxima sesión.
- 27 de abril. 2a Sesión: Aprobación del Reglamento Interno. 
Hito 5: Estrategias priorizadas anualmente para el periodo 2019 – 2023 por eje de las políticas.
A corte 30 de junio del 2022 se realizan acciones por parte de la Dirección Operativa de Salud Pública del DADIS a través de la Dimensión de Convivencia Social y Salud Mental en cumplimiento de las cinco estrategias priorizadas por el Ministerio de Salud de acuerdo a los ejes de las dos políticas así:
• Asistencias Técnicas a EAPB e IPS de salud mental que conducen al desarrollo de capacidades en en entidades de salud para que ejecuten de acuerdo a la normatividad en salud acciones de Tratamiento integral de problemas, trastornos mentales, epilepsia y consumo de sustancias psicoactivas;  Rehabilitación integral e inclusión social;  Prevención de los problemas de salud mental, trastornos mentales, epilepsia y de factores de riesgo frente al consumo de sustancias psicoactivas; Derechos y deberes de pacientes de salud mental.
• Desarrollo de capacidades y acciones de promoción de la salud mental dirigidas a comunidades e Instituciones en torno a las estrategias de Promoción de la convivencia y la salud mental en los entornos y fortalecimiento de los factores protectores frente al consumo de sustancias psicoactivas;
Prevención de los problemas de salud mental, trastornos mentales, epilepsia y de factores de riesgo frente al consumo de sustancias psicoactivas.
• Acciones de Gestión, articulación y coordinación sectorial e intersectorial para la implementación de las dos Políticas; ejecutadas a través del fortalecimiento del Consejo Distrital de Salud Mental y Drogas y la participación en diferentes organismos distritales intersectoriales como el Comite Distrital de Convivencia Escolar, Comite Distrital Artículador para el abordaje de las violencias de Género, Consejo Departamental de Salud Mental, Consejo Departamental de Drogas, Consejo Seccional de Estupefacientes, Mesa de Salud Sistema de Responsabilidad Adolescente, Subcomité Temática Distrital para NNA  y Jóvenes de Especial Protección Constitucional. 
Hito 10: 10. La ciudadanía está vinculada a las diferentes fases de implementación de la Política.
Desde el mes de febrero del 2022 se realizan reuniones de fortalecimiento y de promoción de la salud mental con las tres redes comunitarias promotoras de la salud mental en cada una de las localidades.
Evidencias
Hito 1: https://alcart-my.sharepoint.com/:f:/g/personal/saludmentaldadis_cartagena_gov_co/Eliv6NarIO1Li3G_j3HPcvsBl1_MVHobCNTIYIWtevu-IQ?e=Bg9qOU
Hito 5: https://alcart-my.sharepoint.com/:x:/g/personal/saludmentaldadis_cartagena_gov_co/ETYHENHd16xIpzQqg8nZuhoBqguzWwXK-J3ToTsR31DKjA?e=MqExWk
Hito 10: https://alcart-my.sharepoint.com/:f:/g/personal/saludmentaldadis_cartagena_gov_co/EqPvvOxSawlEq8OT_jWI0NkBOmirirw7_UYJuCPibGsX_g?e=OEnlpL</t>
  </si>
  <si>
    <t xml:space="preserve">Hasta el segundo trimestre del presente año, el SIVIGILA, notificó 230 casos de intentos de suicidio a los cuales se les realizó el seguimiento en un 100%.
Evidencias.
https://alcart-my.sharepoint.com/:f:/g/personal/saludmentaldadis_cartagena_gov_co/EjT_oj2x9XJIvuCy05HCmEkBZrSdO7hPr41MNYGWS3-crA?e=vegXng
</t>
  </si>
  <si>
    <t>A 31 de mayo del 2022, se han presentado 23 casos – 18 hombres y cinco (5) mujeres, 22 mayores de 18 años y una persona menor de edad (INMLCF-Observatorio de Violencia, 2022) lo cual genera una tasa de suicidio del 2,18 por cada 100.000 habitantes, lo cual hasta este período es inferior a la meta esperada para Cartagena de Indias.  
Evidencias
https://alcart-my.sharepoint.com/:f:/g/personal/saludmentaldadis_cartagena_gov_co/Es5qzz-WuOtOsm9YQeD8mTwBqQpcSHWb85_212B1UtyUJw?e=UbgaL2</t>
  </si>
  <si>
    <t xml:space="preserve">
Se realizó asistencia técnica en este período a 22 entidades de salud de la siguiente manera: 15 EAPB y siete (7) IPS de salud mental, de un total de 22 entidades de salud habilitadas en Cartagena de Indias, para un avance del 100%.
Evidencias 
https://alcart-my.sharepoint.com/:f:/g/personal/saludmentaldadis_cartagena_gov_co/Ev_3xJzLDzFMp90Gxf6V4dwB8uUoDg9XV9S9EDZwA5LAcQ?e=lnndms</t>
  </si>
  <si>
    <t>Estas actividades se realizan conjuntamente con las descritas en el numeral anterior 4.12.1.4. 
Se realizó asistencia técnica en este período a 22 entidades de salud de la siguiente manera: 15 EAPB y siete (7) IPS de salud mental, de un total de 22 entidades de salud habilitadas en Cartagena de Indias, para un avance del 100%.
Evidencias 
https://alcart-my.sharepoint.com/:f:/g/personal/saludmentaldadis_cartagena_gov_co/Ev_3xJzLDzFMp90Gxf6V4dwB8uUoDg9XV9S9EDZwA5LAcQ?e=lnndms</t>
  </si>
  <si>
    <t>Se inicio desarrollo de capacidades y se ha ejecutado el 50% de sus actividades a la fecha.</t>
  </si>
  <si>
    <t>A periodo V se reportó una proporción de 2,8% casos de bajo peso al nacer por cada 100 nacidos vivos.</t>
  </si>
  <si>
    <t>La desnutricion aguda  en menores de 5 años en el distrito de Cartagena se mantiene por debajo de la meta. La prevalencia de desnutrición aguda para el año 2022 es del 0,096% por 100 menores de 5 años.</t>
  </si>
  <si>
    <t>Aun no se ha contratado actividad PIC,que incluye intervencion en Instituciones Educativas  en procesos juridicos</t>
  </si>
  <si>
    <t>Evidencia en Link</t>
  </si>
  <si>
    <t>https://alcart-my.sharepoint.com/:f:/g/personal/etvdadis_cartagena_gov_co/EldOm2fg1LlCmg21FAz9q4gBCgKD9lztPf5thA_Apuq6EQ?e=tojqM5</t>
  </si>
  <si>
    <t>El proceso de contratacion inicia en el mes de julio 2022</t>
  </si>
  <si>
    <t xml:space="preserve">En el Distrito de Cartagena tenemos ocho (8) Instituciones prestadoras de servicios de salud- IPS que cuentan con salas de atención a Enfermedades respiratorias agudas-Salas ERA, en estas instituciones la estrategia de Sala ERA esta implementada porque disponen de un área física delimitada y señalizada, Recurso humano entrenado y capacitado, cuentan con la dotación requerida por el lineamiento (inhalo cámaras, inhaladores de dosis medida, medicamentos y otros dispositivos para la atención, realizan seguimiento telefónico para conocer el estado de salud de los niños y niñas después del egreso, refuerzan la educación en salud y realizan reportes semanales de la atención de niños y niñas con patologías respiratorias. 
Esta IPS son:
Clínica Madre Bernarda, Salud Total Urgencias Baja Complejidad, Gestión Salud IPS, Hospital Infantil Napoleón Franco Pareja-HINFP, Clínica General Caribe, Clínica El Bosque, Clínica Blas de Lezo Mega Urgencias y CS Olaya-ESE, adema, aplican guías y protocolos para la atención de las enfermedades respiratorias en niños y niñas.  
Porcentaje de avance: 80%.
</t>
  </si>
  <si>
    <t xml:space="preserve">1,15 x 100.000 </t>
  </si>
  <si>
    <t xml:space="preserve">Asistencia del talento humano a los ciclos de capacitación en los temas: Prevención, Manejo y Control de la Infección Respiratoria Aguda-IRA y Rutas Integrales de Atención en Salud-RIAS, que contribuye al mejoramiento de la gestión del riesgo en salud de cada uno de sus afiliados.
Las EAPB intervenidas a la fecha son: Mutual Ser, Sanitas, Sura, Famisanar, Coosalud, Nueva EPS y Salud Total.
-Mesa de Trabajo con 12 EAPB del Distrito de Cartagena, con el fin de Realizar Seguimiento de avances y compromisos pendientes en la implementación del Programa para la Prevención, Manejo y control de la Infección Respiratoria Aguda-IRA, el día 16 de mayo de 2022.
</t>
  </si>
  <si>
    <t xml:space="preserve">Hasta la fecha de 30 de mayo de 2022, se presentó ante la Dirección Operativa de Salud Pública, la necesidad de contratación de una entidad idónea para la  acciones de Educación para la Salud a 150 Voluntarios como agentes de cambio (Lideres y lideresas, actores claves en la comunidad) en   la prevención y manejo la Infección respiratoria Aguda en menores 5 Años en los entornos hogar y comunitario, en el marco de la contratación del Plan de Intervenciones Colectivas PIC; Sin embargo se ha logrado identificar la población objeto de esta intervención, mediante reuniones concertadas en barrios de las diferentes localidades de Cartagena, contando con el apoyo de los miembros de las Juntas de Acción Comunal.  A la fecha, se ha realizado gestión a las intervenciones colectivas, llevando a cabo los seguimientos a los Agentes Comunitarios IRA/COVID/EDA formados en el año 2021. </t>
  </si>
  <si>
    <t>https://alcart-my.sharepoint.com/:f:/g/personal/sefadulp_cartagena_gov_co/Es2jOejdzyBHuFJL99Mb8RMBxXJmZ_obhZNAVk0ABtSVTw?e=TEnCWr</t>
  </si>
  <si>
    <t>SE TIENE PROGRAMADA PARA EL SEGUNDO SEMESTRE</t>
  </si>
  <si>
    <t>0,20 Casos por 100.000 habitantes</t>
  </si>
  <si>
    <t>https://alcart-my.sharepoint.com/:f:/g/personal/sefadulp_cartagena_gov_co/EkObkoisn6RIjfSTnP3Ehk0BQK_k6zUQp6yjXuNFavH0gQ?e=a5wf2i</t>
  </si>
  <si>
    <t xml:space="preserve">SE TIENE PROGRAMADO PARA EL SEGUNDO SEMESTRE </t>
  </si>
  <si>
    <t>SE TIENE PROGRAMADO PARA EL SEGUNDO SEMESTRE, TODA VEZ QUE AUN NO SE HA CONTRATADO EL PIC</t>
  </si>
  <si>
    <t>Este indicador  se obtiene de forma anual a  traves de FASECOLDA.En Distrito de Cartagena funciona 6 ARL, lo cual constituye el 100%,se anexa evidencias fotograficas reunion con las ARL  Positiva y Axa colpatria.
https://alcart-my.sharepoint.com/:f:/g/personal/riesgosprofesionalesdadis_cartagena_gov_co/EqLwJtFUZhpFi__ROwuTW_4BimlWRh-IoudoqUpX9yyh1w?e=3QUJOy</t>
  </si>
  <si>
    <t>se anexan evidencias forografias, actas y listas de verificacion de asistencias tecnicas SGSST.                                           https://alcart-my.sharepoint.com/:f:/g/personal/riesgosprofesionalesdadis_cartagena_gov_co/EuE6Wzv0GDBBiDPQEtU3SPwBY2TdDi_EXs2t0eoa-KsilQ?e=UKurIN</t>
  </si>
  <si>
    <t>Aun en proceso contractual</t>
  </si>
  <si>
    <t>Se anexan evidencias de Actividad de sinergia y articulaciones realizada con Armada Nacional, Corpoturismo ,Concejo Colombiano de SST.                                                                                                              https://alcart-my.sharepoint.com/:f:/g/personal/riesgosprofesionalesdadis_cartagena_gov_co/Ek5aTU9Gm55Bh8AYI6US8fQBUoD54ztkwCQ8702CV8OqGQ?e=hdbhc4</t>
  </si>
  <si>
    <t>&lt;4,99</t>
  </si>
  <si>
    <t>IRCA en 0, menor a 4,99 (Sin Riesgo)</t>
  </si>
  <si>
    <t>25% de politica publica formulada en el trimestre</t>
  </si>
  <si>
    <t>30% de politica publica formulada en el trimestre</t>
  </si>
  <si>
    <t>Hasta el segundo trimestre del presente año, el SIVIGILA, notificó 230 casos de intentos de suicidio a los cuales se les realizó el seguimiento en un 100%.</t>
  </si>
  <si>
    <t>Se atendieron la totalidad de los inetntos del periodo</t>
  </si>
  <si>
    <t>&lt;5,4</t>
  </si>
  <si>
    <t>&lt;0,05</t>
  </si>
  <si>
    <t>En el primer trimestre se socializo el Plan Distrital de Gestión de Riesgo de Desastres a 2159 personas de los sectores Salud, Comunidad y entes transectoriales, para el segundo trimestre 1398 personas.</t>
  </si>
  <si>
    <t>Hasta el momento no se ha contratado</t>
  </si>
  <si>
    <t>Se esta desarrollando las actividades contratadas</t>
  </si>
  <si>
    <t>en el II Trimestre del año 2022, se han presentado 4 muertes maternas, de las cuales se han realizado el analisis de 3 muertes maternas. La muerte materna restante se encuentra en la ventana de tiempo de analisis epidemiologica.</t>
  </si>
  <si>
    <t>hasta el segundo semestres del año 2022, se han presentado 50 partos en adolescentes en edades de 10 a 14 años, por lo cual se ha cumplido la meta, sin embargo nos encontramos a techo.</t>
  </si>
  <si>
    <t>hasta el segundo semestres del año 2022, se han presentado 1318 partos en adolescentes en edades de 15 a 19 años, por lo cual se ha cumplido la meta, sin embargo nos encontramos a techo.</t>
  </si>
  <si>
    <t>Se han realizado a corte de junio 30 del 2022, 42 assitencias tecnicas de las 72 instituciones en el Distrito de Cartagena.</t>
  </si>
  <si>
    <t>Se han realizado a corte de junio 30 del 2022, 29 assitencias tecnicas de las 81 instituciones en el Distrito de Cartagena.</t>
  </si>
  <si>
    <t>cumplimiento del 67% de las EAPBS</t>
  </si>
  <si>
    <t>cumplimiento del 32,7 %</t>
  </si>
  <si>
    <t>Esta estreategia se consolida a finalizar el periodo fiscal</t>
  </si>
  <si>
    <t>La estrategia tiene un cumplimiento del 12% ha demorado un poco, dado que se interviene en la formacion de las madres y los hijos en educacion sexual, y posterior con la estrategia sexual en menores.</t>
  </si>
  <si>
    <t xml:space="preserve"> 47,60x1000 </t>
  </si>
  <si>
    <t>Se ha realizado el 28% de seguimiento a corte de junio 30, 2022. De 89 Instituciones programadas</t>
  </si>
  <si>
    <t>A la feccha se ha registado un cumplimiento entre el 0% y el 2%</t>
  </si>
  <si>
    <t>20 Ips de 75 de mayor notificación</t>
  </si>
  <si>
    <t>23 Ips del total de mayor notificación</t>
  </si>
  <si>
    <t>ACUMULADO META PRODUCTO 2022</t>
  </si>
  <si>
    <t>AVANCE META PRODUCTO JUNIO 2022</t>
  </si>
  <si>
    <t>ACUMULADO META PRODUCTO 2020 -  JUNIO 2022</t>
  </si>
  <si>
    <t>AVANCE META PRODUCTO ACUMULADA CUATRENIO 2020 - JUNIO 2022</t>
  </si>
  <si>
    <r>
      <t> </t>
    </r>
    <r>
      <rPr>
        <b/>
        <sz val="9.5"/>
        <color indexed="8"/>
        <rFont val="Calibri"/>
        <family val="2"/>
      </rPr>
      <t>Obtener un Índice de Riesgo de Calidad del Agua (IRCA) menor a 5</t>
    </r>
  </si>
  <si>
    <r>
      <t>Disminuir la Tasa de suicidio a menos de 4 casos por cada 100.000 habitantes (primera infancia, infancia, adolescencia, jóvenes y adultos)</t>
    </r>
    <r>
      <rPr>
        <b/>
        <sz val="9.5"/>
        <color indexed="53"/>
        <rFont val="Calibri"/>
        <family val="2"/>
      </rPr>
      <t xml:space="preserve">  </t>
    </r>
  </si>
  <si>
    <r>
      <t>Realizar anualmente acompañamiento tecnico al 100% de EAPB e IPS de salud mental habilitadas en el Distrito  para el desarrollo de capacidades</t>
    </r>
    <r>
      <rPr>
        <b/>
        <sz val="9.5"/>
        <color indexed="8"/>
        <rFont val="Calibri"/>
        <family val="2"/>
      </rPr>
      <t xml:space="preserve"> tendientes a fortalecer la atención integral a las personas con diagnótico con COVID 19, Epilepsia, problemas y trastornos y consumo de sustancias psicoactivas</t>
    </r>
  </si>
  <si>
    <r>
      <t>Mantener la tasa de muertes prematuras por enfermedades circulatorias entre 30 a 70 años debajo de 113,23 x 100.000</t>
    </r>
    <r>
      <rPr>
        <b/>
        <sz val="9.5"/>
        <color rgb="FF00B050"/>
        <rFont val="Calibri"/>
        <family val="2"/>
      </rPr>
      <t xml:space="preserve"> habitantes</t>
    </r>
  </si>
  <si>
    <r>
      <t xml:space="preserve"> Mantener la Tasa de mortalidad por cáncer infantil por debajo de 2,59 por cada 100</t>
    </r>
    <r>
      <rPr>
        <b/>
        <sz val="9.5"/>
        <color rgb="FF00B050"/>
        <rFont val="Calibri"/>
        <family val="2"/>
      </rPr>
      <t xml:space="preserve"> mil habitantes</t>
    </r>
  </si>
  <si>
    <t>LÍNEA ESTRATÉGICA SALUD PARA TODOS.</t>
  </si>
  <si>
    <t>AVANCE PLAN DE DESARROLLO DADIS  A JUNIO 30 DE 2022</t>
  </si>
  <si>
    <t>PORCENTAJE DE AVANCE ACTIVIDADES PLAN DE ACCIÓN A JUNIO 2022</t>
  </si>
  <si>
    <t>AVANCE PLAN DE ACCIÓN DADIS  A JUNIO 30 DE 2022</t>
  </si>
  <si>
    <t>ASIGNACIÓN PRESUPUESTAL DEFINITIVA</t>
  </si>
  <si>
    <t>EJECUCIÓN PRESUPUESTAL DEFINITIVA SEGÚN PREDIS</t>
  </si>
  <si>
    <t>PORCENTAJE PRESUPUESTO EJECUTADO A 30  DE JUNIO DE 2022</t>
  </si>
  <si>
    <t>EJECUCIÓN PRESUPUESTAL SECRETARÍA DE EDUCACIÓN DISTRITAL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</si>
</sst>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quot;$&quot;\ #,##0"/>
    <numFmt numFmtId="168" formatCode="#,##0.0"/>
    <numFmt numFmtId="169" formatCode="0.0%"/>
    <numFmt numFmtId="170" formatCode="_-* #,##0.0000_-;\-* #,##0.0000_-;_-* &quot;-&quot;??_-;_-@_-"/>
    <numFmt numFmtId="171" formatCode="_-* #,##0.00000_-;\-* #,##0.00000_-;_-* &quot;-&quot;??_-;_-@_-"/>
    <numFmt numFmtId="172" formatCode="0.000%"/>
    <numFmt numFmtId="173" formatCode="_-* #,##0_-;\-* #,##0_-;_-* &quot;-&quot;??_-;_-@_-"/>
  </numFmts>
  <fonts count="41" x14ac:knownFonts="1">
    <font>
      <sz val="11"/>
      <color theme="1"/>
      <name val="Calibri"/>
      <family val="2"/>
      <scheme val="minor"/>
    </font>
    <font>
      <b/>
      <sz val="11"/>
      <color indexed="8"/>
      <name val="Calibri"/>
      <family val="2"/>
    </font>
    <font>
      <sz val="12"/>
      <color indexed="49"/>
      <name val="Calibri"/>
      <family val="2"/>
    </font>
    <font>
      <sz val="10"/>
      <name val="Arial"/>
      <family val="2"/>
    </font>
    <font>
      <b/>
      <sz val="11"/>
      <color indexed="53"/>
      <name val="Calibri"/>
      <family val="2"/>
    </font>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tint="4.9989318521683403E-2"/>
      <name val="Calibri"/>
      <family val="2"/>
      <scheme val="minor"/>
    </font>
    <font>
      <b/>
      <sz val="11"/>
      <name val="Calibri"/>
      <family val="2"/>
      <scheme val="minor"/>
    </font>
    <font>
      <b/>
      <sz val="12"/>
      <color rgb="FF0D330A"/>
      <name val="Montserrat"/>
    </font>
    <font>
      <b/>
      <sz val="11"/>
      <color rgb="FF000000"/>
      <name val="Calibri"/>
      <family val="2"/>
      <scheme val="minor"/>
    </font>
    <font>
      <b/>
      <sz val="12"/>
      <name val="Calibri"/>
      <family val="2"/>
      <scheme val="minor"/>
    </font>
    <font>
      <sz val="12"/>
      <name val="Calibri"/>
      <family val="2"/>
      <scheme val="minor"/>
    </font>
    <font>
      <b/>
      <sz val="16"/>
      <color theme="1"/>
      <name val="Calibri"/>
      <family val="2"/>
      <scheme val="minor"/>
    </font>
    <font>
      <sz val="72"/>
      <color rgb="FF000000"/>
      <name val="Calibri"/>
      <family val="2"/>
      <scheme val="minor"/>
    </font>
    <font>
      <b/>
      <sz val="10"/>
      <color theme="1"/>
      <name val="Calibri"/>
      <family val="2"/>
      <scheme val="minor"/>
    </font>
    <font>
      <b/>
      <sz val="10"/>
      <name val="Calibri"/>
      <family val="2"/>
      <scheme val="minor"/>
    </font>
    <font>
      <b/>
      <sz val="10"/>
      <name val="Arial"/>
      <family val="2"/>
    </font>
    <font>
      <b/>
      <sz val="10"/>
      <color theme="1"/>
      <name val="Arial"/>
      <family val="2"/>
    </font>
    <font>
      <sz val="10"/>
      <color theme="1"/>
      <name val="Arial"/>
      <family val="2"/>
    </font>
    <font>
      <b/>
      <sz val="25"/>
      <color theme="1"/>
      <name val="Calibri"/>
      <family val="2"/>
      <scheme val="minor"/>
    </font>
    <font>
      <b/>
      <sz val="25"/>
      <name val="Calibri"/>
      <family val="2"/>
      <scheme val="minor"/>
    </font>
    <font>
      <b/>
      <sz val="11"/>
      <color rgb="FF00B050"/>
      <name val="Calibri"/>
      <family val="2"/>
      <scheme val="minor"/>
    </font>
    <font>
      <b/>
      <sz val="11"/>
      <color rgb="FFFF0000"/>
      <name val="Calibri"/>
      <family val="2"/>
      <scheme val="minor"/>
    </font>
    <font>
      <b/>
      <sz val="9.5"/>
      <color theme="1"/>
      <name val="Calibri"/>
      <family val="2"/>
      <scheme val="minor"/>
    </font>
    <font>
      <b/>
      <sz val="9.5"/>
      <color rgb="FF00B050"/>
      <name val="Calibri"/>
      <family val="2"/>
      <scheme val="minor"/>
    </font>
    <font>
      <b/>
      <sz val="9.5"/>
      <color indexed="8"/>
      <name val="Calibri"/>
      <family val="2"/>
    </font>
    <font>
      <b/>
      <sz val="9.5"/>
      <color indexed="53"/>
      <name val="Calibri"/>
      <family val="2"/>
    </font>
    <font>
      <sz val="9.5"/>
      <color theme="1"/>
      <name val="Calibri"/>
      <family val="2"/>
      <scheme val="minor"/>
    </font>
    <font>
      <b/>
      <sz val="9.5"/>
      <color rgb="FF00B050"/>
      <name val="Calibri"/>
      <family val="2"/>
    </font>
    <font>
      <b/>
      <sz val="15"/>
      <color theme="1"/>
      <name val="Calibri"/>
      <family val="2"/>
      <scheme val="minor"/>
    </font>
    <font>
      <sz val="15"/>
      <color theme="1"/>
      <name val="Calibri"/>
      <family val="2"/>
      <scheme val="minor"/>
    </font>
    <font>
      <b/>
      <sz val="30"/>
      <color theme="1"/>
      <name val="Calibri"/>
      <family val="2"/>
      <scheme val="minor"/>
    </font>
    <font>
      <b/>
      <sz val="20"/>
      <color rgb="FFFF0000"/>
      <name val="Arial"/>
      <family val="2"/>
    </font>
    <font>
      <b/>
      <sz val="40"/>
      <color rgb="FFFF0000"/>
      <name val="Arial"/>
      <family val="2"/>
    </font>
    <font>
      <b/>
      <sz val="40"/>
      <color theme="1"/>
      <name val="Calibri"/>
      <family val="2"/>
      <scheme val="minor"/>
    </font>
    <font>
      <b/>
      <sz val="20"/>
      <color theme="1"/>
      <name val="Calibri"/>
      <family val="2"/>
      <scheme val="minor"/>
    </font>
    <font>
      <b/>
      <sz val="20"/>
      <name val="Calibri"/>
      <family val="2"/>
      <scheme val="minor"/>
    </font>
    <font>
      <b/>
      <sz val="40"/>
      <color rgb="FFFF000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F3399"/>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Dash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6" fillId="0" borderId="0" applyNumberForma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0" fontId="5" fillId="0" borderId="0"/>
    <xf numFmtId="0" fontId="3" fillId="0" borderId="0"/>
    <xf numFmtId="9" fontId="5" fillId="0" borderId="0" applyFont="0" applyFill="0" applyBorder="0" applyAlignment="0" applyProtection="0"/>
  </cellStyleXfs>
  <cellXfs count="695">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1" fontId="0" fillId="0" borderId="0" xfId="0" applyNumberFormat="1" applyAlignment="1">
      <alignment horizontal="center" vertical="center"/>
    </xf>
    <xf numFmtId="0" fontId="9" fillId="0" borderId="0" xfId="0" applyFont="1" applyAlignment="1">
      <alignment horizontal="center"/>
    </xf>
    <xf numFmtId="0" fontId="0" fillId="0" borderId="0" xfId="0" applyFont="1"/>
    <xf numFmtId="0" fontId="7" fillId="4" borderId="1" xfId="0" applyFont="1" applyFill="1" applyBorder="1" applyAlignment="1">
      <alignment vertical="center" wrapText="1"/>
    </xf>
    <xf numFmtId="9" fontId="7"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top"/>
    </xf>
    <xf numFmtId="3" fontId="7" fillId="5" borderId="1" xfId="0" applyNumberFormat="1" applyFont="1" applyFill="1" applyBorder="1" applyAlignment="1">
      <alignment horizontal="center" vertical="top"/>
    </xf>
    <xf numFmtId="9" fontId="7" fillId="5" borderId="1" xfId="7" applyFont="1" applyFill="1" applyBorder="1" applyAlignment="1">
      <alignment horizontal="center" vertical="top"/>
    </xf>
    <xf numFmtId="9" fontId="7" fillId="5" borderId="1" xfId="0" applyNumberFormat="1" applyFont="1" applyFill="1" applyBorder="1" applyAlignment="1">
      <alignment horizontal="center" vertical="top"/>
    </xf>
    <xf numFmtId="0" fontId="7" fillId="0" borderId="0" xfId="0" applyFont="1"/>
    <xf numFmtId="10" fontId="7" fillId="4" borderId="1" xfId="0" applyNumberFormat="1" applyFont="1" applyFill="1" applyBorder="1" applyAlignment="1">
      <alignment horizontal="center" vertical="center" wrapText="1"/>
    </xf>
    <xf numFmtId="0" fontId="7" fillId="4" borderId="1" xfId="0" applyFont="1" applyFill="1" applyBorder="1" applyAlignment="1">
      <alignment horizontal="justify" vertical="center" wrapText="1"/>
    </xf>
    <xf numFmtId="3" fontId="7" fillId="5" borderId="1" xfId="0" applyNumberFormat="1" applyFont="1" applyFill="1" applyBorder="1" applyAlignment="1">
      <alignment vertical="top"/>
    </xf>
    <xf numFmtId="9" fontId="7" fillId="5" borderId="1" xfId="0" applyNumberFormat="1" applyFont="1" applyFill="1" applyBorder="1" applyAlignment="1">
      <alignment horizontal="justify" vertical="top"/>
    </xf>
    <xf numFmtId="0" fontId="7" fillId="5" borderId="1" xfId="0" applyFont="1" applyFill="1" applyBorder="1" applyAlignment="1">
      <alignment vertical="top"/>
    </xf>
    <xf numFmtId="3" fontId="7" fillId="5" borderId="1" xfId="0" applyNumberFormat="1" applyFont="1" applyFill="1" applyBorder="1" applyAlignment="1">
      <alignment horizontal="justify" vertical="top"/>
    </xf>
    <xf numFmtId="9" fontId="7" fillId="5" borderId="1" xfId="0" applyNumberFormat="1" applyFont="1" applyFill="1" applyBorder="1" applyAlignment="1">
      <alignment horizontal="center" vertical="center"/>
    </xf>
    <xf numFmtId="9" fontId="7"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top"/>
    </xf>
    <xf numFmtId="0" fontId="7" fillId="6" borderId="1" xfId="0" applyFont="1" applyFill="1" applyBorder="1" applyAlignment="1">
      <alignment horizontal="center" vertical="center" wrapText="1"/>
    </xf>
    <xf numFmtId="0" fontId="7" fillId="6" borderId="1" xfId="0" applyFont="1" applyFill="1" applyBorder="1" applyAlignment="1">
      <alignment horizontal="justify" vertical="top"/>
    </xf>
    <xf numFmtId="0" fontId="7" fillId="4" borderId="1" xfId="0" applyFont="1" applyFill="1" applyBorder="1" applyAlignment="1"/>
    <xf numFmtId="0" fontId="7" fillId="4" borderId="1" xfId="0" applyFont="1" applyFill="1" applyBorder="1" applyAlignment="1">
      <alignment horizontal="center" vertical="top" wrapText="1"/>
    </xf>
    <xf numFmtId="0" fontId="7"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top" wrapText="1"/>
    </xf>
    <xf numFmtId="0" fontId="7" fillId="4" borderId="1" xfId="0" applyFont="1" applyFill="1" applyBorder="1" applyAlignment="1">
      <alignment horizontal="justify" vertical="top" wrapText="1"/>
    </xf>
    <xf numFmtId="0" fontId="7" fillId="7" borderId="1" xfId="0" applyFont="1" applyFill="1" applyBorder="1" applyAlignment="1">
      <alignment horizontal="center" vertical="top"/>
    </xf>
    <xf numFmtId="0" fontId="7" fillId="7" borderId="1" xfId="0" applyFont="1" applyFill="1" applyBorder="1" applyAlignment="1">
      <alignment horizontal="justify" vertical="top"/>
    </xf>
    <xf numFmtId="9" fontId="7" fillId="7" borderId="1" xfId="0" applyNumberFormat="1" applyFont="1" applyFill="1" applyBorder="1" applyAlignment="1">
      <alignment horizontal="center" vertical="top"/>
    </xf>
    <xf numFmtId="0" fontId="0" fillId="4" borderId="1" xfId="0" applyFont="1" applyFill="1" applyBorder="1" applyAlignment="1"/>
    <xf numFmtId="0" fontId="7" fillId="4" borderId="1" xfId="0" applyFont="1" applyFill="1" applyBorder="1" applyAlignment="1">
      <alignment horizontal="center" vertical="center"/>
    </xf>
    <xf numFmtId="9" fontId="7" fillId="5" borderId="1" xfId="0" applyNumberFormat="1" applyFont="1" applyFill="1" applyBorder="1" applyAlignment="1">
      <alignment horizontal="center" vertical="center" wrapText="1"/>
    </xf>
    <xf numFmtId="1" fontId="7" fillId="5" borderId="1" xfId="7" applyNumberFormat="1" applyFont="1" applyFill="1" applyBorder="1" applyAlignment="1">
      <alignment horizontal="center" vertical="center"/>
    </xf>
    <xf numFmtId="41" fontId="7" fillId="5" borderId="1" xfId="3"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xf>
    <xf numFmtId="0" fontId="0" fillId="5" borderId="1" xfId="0" applyFont="1" applyFill="1" applyBorder="1" applyAlignment="1">
      <alignment horizontal="center" vertical="top"/>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top" wrapText="1"/>
    </xf>
    <xf numFmtId="0" fontId="7" fillId="8" borderId="1" xfId="0" applyFont="1" applyFill="1" applyBorder="1" applyAlignment="1">
      <alignment horizontal="justify" vertical="top"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justify" vertical="top" wrapText="1"/>
    </xf>
    <xf numFmtId="0" fontId="0" fillId="4" borderId="1" xfId="0" applyFont="1" applyFill="1" applyBorder="1" applyAlignment="1">
      <alignment horizontal="center" vertical="top" wrapText="1"/>
    </xf>
    <xf numFmtId="0" fontId="0" fillId="9" borderId="1" xfId="0" applyFont="1" applyFill="1" applyBorder="1" applyAlignment="1">
      <alignment horizontal="center" vertical="top"/>
    </xf>
    <xf numFmtId="0" fontId="0" fillId="9" borderId="1" xfId="0" applyFont="1" applyFill="1" applyBorder="1" applyAlignment="1">
      <alignment horizontal="center" vertical="top" wrapText="1"/>
    </xf>
    <xf numFmtId="0" fontId="0" fillId="5" borderId="1" xfId="0" applyFont="1" applyFill="1" applyBorder="1" applyAlignment="1">
      <alignment horizontal="justify" vertical="top"/>
    </xf>
    <xf numFmtId="0" fontId="0" fillId="10" borderId="1" xfId="0" applyFont="1" applyFill="1" applyBorder="1" applyAlignment="1">
      <alignment horizontal="center" vertical="top"/>
    </xf>
    <xf numFmtId="0" fontId="0" fillId="2" borderId="1" xfId="0" applyFont="1" applyFill="1" applyBorder="1" applyAlignment="1">
      <alignment horizontal="justify" vertical="top"/>
    </xf>
    <xf numFmtId="0" fontId="0" fillId="2" borderId="1" xfId="0" applyFont="1" applyFill="1" applyBorder="1" applyAlignment="1">
      <alignment horizontal="center" vertical="top"/>
    </xf>
    <xf numFmtId="167" fontId="0" fillId="4" borderId="1" xfId="0" applyNumberFormat="1" applyFont="1" applyFill="1" applyBorder="1" applyAlignment="1">
      <alignment horizontal="center" vertical="top" wrapText="1"/>
    </xf>
    <xf numFmtId="0" fontId="0" fillId="0" borderId="0" xfId="0" applyFont="1" applyAlignment="1">
      <alignment horizontal="center"/>
    </xf>
    <xf numFmtId="0" fontId="0" fillId="0" borderId="0" xfId="0" applyFont="1" applyAlignment="1">
      <alignment horizontal="left" vertical="top"/>
    </xf>
    <xf numFmtId="1" fontId="0" fillId="0" borderId="0" xfId="0" applyNumberFormat="1" applyFont="1"/>
    <xf numFmtId="0" fontId="0" fillId="0" borderId="0" xfId="0" applyFont="1" applyAlignment="1">
      <alignment horizontal="center" vertical="center"/>
    </xf>
    <xf numFmtId="0" fontId="0" fillId="0" borderId="0" xfId="0" applyFont="1" applyAlignment="1">
      <alignment vertical="center"/>
    </xf>
    <xf numFmtId="0" fontId="0" fillId="0" borderId="0" xfId="0" applyAlignment="1">
      <alignment horizontal="justify" vertical="center"/>
    </xf>
    <xf numFmtId="0" fontId="7" fillId="4" borderId="1" xfId="0" applyFont="1" applyFill="1" applyBorder="1" applyAlignment="1">
      <alignment horizontal="left" vertical="center" wrapText="1"/>
    </xf>
    <xf numFmtId="0" fontId="7" fillId="2" borderId="1" xfId="0" applyFont="1" applyFill="1" applyBorder="1" applyAlignment="1">
      <alignment horizontal="center" vertical="top"/>
    </xf>
    <xf numFmtId="167" fontId="7" fillId="5" borderId="1" xfId="0" applyNumberFormat="1" applyFont="1" applyFill="1" applyBorder="1" applyAlignment="1">
      <alignment horizontal="left" vertical="center"/>
    </xf>
    <xf numFmtId="0" fontId="7" fillId="5" borderId="1" xfId="0" applyFont="1" applyFill="1" applyBorder="1" applyAlignment="1">
      <alignment horizontal="left" vertical="center"/>
    </xf>
    <xf numFmtId="0" fontId="7" fillId="2" borderId="1" xfId="0" applyFont="1" applyFill="1" applyBorder="1" applyAlignment="1">
      <alignment vertical="center" wrapText="1"/>
    </xf>
    <xf numFmtId="0" fontId="0" fillId="5" borderId="1" xfId="0" applyFont="1" applyFill="1" applyBorder="1" applyAlignment="1">
      <alignment horizontal="justify" vertical="center"/>
    </xf>
    <xf numFmtId="167" fontId="7" fillId="5" borderId="1" xfId="0" applyNumberFormat="1" applyFont="1" applyFill="1" applyBorder="1" applyAlignment="1">
      <alignment horizontal="center" vertical="center"/>
    </xf>
    <xf numFmtId="167" fontId="0" fillId="0" borderId="0" xfId="0" applyNumberFormat="1"/>
    <xf numFmtId="167" fontId="7" fillId="5" borderId="1" xfId="0" applyNumberFormat="1" applyFont="1" applyFill="1" applyBorder="1" applyAlignment="1">
      <alignment horizontal="center" vertical="top"/>
    </xf>
    <xf numFmtId="167" fontId="0" fillId="5" borderId="1" xfId="0" applyNumberFormat="1" applyFont="1" applyFill="1" applyBorder="1" applyAlignment="1">
      <alignment horizontal="center" vertical="top"/>
    </xf>
    <xf numFmtId="167" fontId="0" fillId="9" borderId="1" xfId="0" applyNumberFormat="1" applyFont="1" applyFill="1" applyBorder="1" applyAlignment="1">
      <alignment horizontal="center" vertical="top" wrapText="1"/>
    </xf>
    <xf numFmtId="167" fontId="0" fillId="10" borderId="1" xfId="0" applyNumberFormat="1" applyFont="1" applyFill="1" applyBorder="1" applyAlignment="1">
      <alignment horizontal="center" vertical="top" wrapText="1"/>
    </xf>
    <xf numFmtId="167" fontId="0" fillId="2" borderId="1" xfId="0" applyNumberFormat="1" applyFont="1" applyFill="1" applyBorder="1" applyAlignment="1">
      <alignment horizontal="center" vertical="top"/>
    </xf>
    <xf numFmtId="0" fontId="0" fillId="0" borderId="0" xfId="0" applyAlignment="1">
      <alignment horizontal="justify" vertical="top"/>
    </xf>
    <xf numFmtId="0" fontId="0" fillId="9" borderId="1" xfId="0" applyFont="1" applyFill="1" applyBorder="1" applyAlignment="1">
      <alignment horizontal="justify" vertical="top" wrapText="1"/>
    </xf>
    <xf numFmtId="0" fontId="7" fillId="12" borderId="1" xfId="0" applyFont="1" applyFill="1" applyBorder="1" applyAlignment="1">
      <alignment horizontal="justify" vertical="top"/>
    </xf>
    <xf numFmtId="0" fontId="7" fillId="12" borderId="1" xfId="0" applyFont="1" applyFill="1" applyBorder="1" applyAlignment="1">
      <alignment horizontal="center" vertical="top"/>
    </xf>
    <xf numFmtId="167" fontId="7" fillId="12" borderId="1" xfId="0" applyNumberFormat="1" applyFont="1" applyFill="1" applyBorder="1" applyAlignment="1">
      <alignment horizontal="center" vertical="top"/>
    </xf>
    <xf numFmtId="0" fontId="7" fillId="4" borderId="1" xfId="0" applyFont="1" applyFill="1" applyBorder="1" applyAlignment="1">
      <alignment horizontal="center" vertical="top"/>
    </xf>
    <xf numFmtId="0" fontId="10" fillId="2" borderId="1" xfId="0" applyFont="1" applyFill="1" applyBorder="1" applyAlignment="1">
      <alignment horizontal="center" vertical="top" wrapText="1"/>
    </xf>
    <xf numFmtId="1" fontId="7" fillId="2" borderId="1" xfId="0" applyNumberFormat="1" applyFont="1" applyFill="1" applyBorder="1" applyAlignment="1">
      <alignment horizontal="justify" vertical="top"/>
    </xf>
    <xf numFmtId="167" fontId="7" fillId="4"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7" fillId="2" borderId="1" xfId="0" applyFont="1" applyFill="1" applyBorder="1" applyAlignment="1">
      <alignment horizontal="justify" vertical="top" wrapText="1"/>
    </xf>
    <xf numFmtId="0" fontId="7" fillId="2" borderId="1" xfId="0" applyFont="1" applyFill="1" applyBorder="1" applyAlignment="1">
      <alignment horizontal="center" vertical="top" wrapText="1"/>
    </xf>
    <xf numFmtId="167" fontId="7" fillId="2" borderId="1" xfId="0" applyNumberFormat="1" applyFont="1" applyFill="1" applyBorder="1" applyAlignment="1">
      <alignment horizontal="center" vertical="top" wrapText="1"/>
    </xf>
    <xf numFmtId="3"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top" wrapText="1"/>
    </xf>
    <xf numFmtId="0" fontId="7" fillId="4" borderId="1" xfId="0" applyFont="1" applyFill="1" applyBorder="1" applyAlignment="1">
      <alignment vertical="top"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justify" vertical="top"/>
    </xf>
    <xf numFmtId="0" fontId="7" fillId="9" borderId="1" xfId="0" applyFont="1" applyFill="1" applyBorder="1" applyAlignment="1">
      <alignment horizontal="center" vertical="top" wrapText="1"/>
    </xf>
    <xf numFmtId="0" fontId="7" fillId="9" borderId="1" xfId="0" applyFont="1" applyFill="1" applyBorder="1" applyAlignment="1">
      <alignment horizontal="justify" vertical="top" wrapText="1"/>
    </xf>
    <xf numFmtId="167" fontId="7" fillId="9" borderId="1" xfId="0" applyNumberFormat="1" applyFont="1" applyFill="1" applyBorder="1" applyAlignment="1">
      <alignment horizontal="center" vertical="top" wrapText="1"/>
    </xf>
    <xf numFmtId="3" fontId="7" fillId="9" borderId="1"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4" borderId="1" xfId="0" applyFont="1" applyFill="1" applyBorder="1" applyAlignment="1">
      <alignment horizontal="left" vertical="top" wrapText="1"/>
    </xf>
    <xf numFmtId="9" fontId="7" fillId="2" borderId="1" xfId="0" applyNumberFormat="1" applyFont="1" applyFill="1" applyBorder="1" applyAlignment="1">
      <alignment horizontal="center" vertical="center" wrapText="1"/>
    </xf>
    <xf numFmtId="9" fontId="7" fillId="4" borderId="1" xfId="0" applyNumberFormat="1" applyFont="1" applyFill="1" applyBorder="1" applyAlignment="1">
      <alignment horizontal="left" vertical="center" wrapText="1"/>
    </xf>
    <xf numFmtId="0" fontId="7" fillId="13" borderId="1" xfId="0" applyFont="1" applyFill="1" applyBorder="1" applyAlignment="1">
      <alignment horizontal="center" vertical="center"/>
    </xf>
    <xf numFmtId="0" fontId="7" fillId="13" borderId="1" xfId="0" applyFont="1" applyFill="1" applyBorder="1" applyAlignment="1">
      <alignment horizontal="justify" vertical="top"/>
    </xf>
    <xf numFmtId="0" fontId="7" fillId="13" borderId="1" xfId="0" applyFont="1" applyFill="1" applyBorder="1" applyAlignment="1">
      <alignment horizontal="center" vertical="top"/>
    </xf>
    <xf numFmtId="0" fontId="7" fillId="13" borderId="1" xfId="0" applyFont="1" applyFill="1" applyBorder="1" applyAlignment="1">
      <alignment horizontal="center" vertical="top" wrapText="1"/>
    </xf>
    <xf numFmtId="167" fontId="7" fillId="13" borderId="1" xfId="0" applyNumberFormat="1" applyFont="1" applyFill="1" applyBorder="1" applyAlignment="1">
      <alignment horizontal="center" vertical="top" wrapText="1"/>
    </xf>
    <xf numFmtId="0" fontId="7" fillId="13" borderId="1" xfId="0" applyFont="1" applyFill="1" applyBorder="1" applyAlignment="1">
      <alignment horizontal="justify" vertical="top" wrapText="1"/>
    </xf>
    <xf numFmtId="0" fontId="7" fillId="7" borderId="1" xfId="0" applyFont="1" applyFill="1" applyBorder="1" applyAlignment="1">
      <alignment vertical="center" wrapText="1"/>
    </xf>
    <xf numFmtId="167" fontId="7" fillId="7" borderId="1" xfId="0" applyNumberFormat="1" applyFont="1" applyFill="1" applyBorder="1" applyAlignment="1">
      <alignment vertical="center" wrapText="1"/>
    </xf>
    <xf numFmtId="0" fontId="7" fillId="7" borderId="1" xfId="0" applyFont="1" applyFill="1" applyBorder="1" applyAlignment="1">
      <alignment vertical="top" wrapText="1"/>
    </xf>
    <xf numFmtId="0" fontId="7" fillId="7" borderId="1" xfId="0" applyFont="1" applyFill="1" applyBorder="1" applyAlignment="1">
      <alignment horizontal="left" vertical="center" wrapText="1"/>
    </xf>
    <xf numFmtId="167" fontId="7" fillId="7" borderId="1" xfId="0" applyNumberFormat="1" applyFont="1" applyFill="1" applyBorder="1" applyAlignment="1">
      <alignment horizontal="center" vertical="center" wrapText="1"/>
    </xf>
    <xf numFmtId="0" fontId="7" fillId="7" borderId="1" xfId="0" applyFont="1" applyFill="1" applyBorder="1" applyAlignment="1">
      <alignment horizontal="justify" vertical="top"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top" wrapText="1"/>
    </xf>
    <xf numFmtId="167" fontId="7" fillId="5" borderId="1" xfId="0" applyNumberFormat="1" applyFont="1" applyFill="1" applyBorder="1" applyAlignment="1">
      <alignment horizontal="center" vertical="top" wrapText="1"/>
    </xf>
    <xf numFmtId="167" fontId="7" fillId="10" borderId="1" xfId="0" applyNumberFormat="1" applyFont="1" applyFill="1" applyBorder="1" applyAlignment="1">
      <alignment horizontal="center" vertical="top" wrapText="1"/>
    </xf>
    <xf numFmtId="0" fontId="7" fillId="10" borderId="1" xfId="0" applyFont="1" applyFill="1" applyBorder="1" applyAlignment="1">
      <alignment horizontal="justify" vertical="top"/>
    </xf>
    <xf numFmtId="9" fontId="7" fillId="10" borderId="1" xfId="0" applyNumberFormat="1" applyFont="1" applyFill="1" applyBorder="1" applyAlignment="1">
      <alignment horizontal="center" vertical="center" wrapText="1"/>
    </xf>
    <xf numFmtId="0" fontId="7" fillId="5" borderId="1" xfId="0" applyFont="1" applyFill="1" applyBorder="1" applyAlignment="1">
      <alignment horizontal="justify" vertical="center"/>
    </xf>
    <xf numFmtId="0" fontId="7" fillId="12" borderId="1" xfId="0" applyFont="1" applyFill="1" applyBorder="1" applyAlignment="1">
      <alignment horizontal="justify" vertical="center"/>
    </xf>
    <xf numFmtId="0" fontId="0" fillId="4"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0" fillId="9" borderId="1" xfId="0" applyFont="1" applyFill="1" applyBorder="1" applyAlignment="1">
      <alignment horizontal="justify" vertical="center" wrapText="1"/>
    </xf>
    <xf numFmtId="0" fontId="7" fillId="13"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10" borderId="1" xfId="0" applyFont="1" applyFill="1" applyBorder="1" applyAlignment="1">
      <alignment horizontal="justify" vertical="center" wrapText="1"/>
    </xf>
    <xf numFmtId="0" fontId="0" fillId="10" borderId="1" xfId="0" applyFont="1" applyFill="1" applyBorder="1" applyAlignment="1">
      <alignment horizontal="justify" vertical="center" wrapText="1"/>
    </xf>
    <xf numFmtId="0" fontId="0" fillId="2" borderId="1" xfId="0" applyFont="1" applyFill="1" applyBorder="1" applyAlignment="1">
      <alignment horizontal="justify" vertical="center"/>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top"/>
    </xf>
    <xf numFmtId="167" fontId="7" fillId="2" borderId="1" xfId="0" applyNumberFormat="1" applyFont="1" applyFill="1" applyBorder="1" applyAlignment="1">
      <alignment horizontal="center" vertical="top"/>
    </xf>
    <xf numFmtId="0" fontId="7" fillId="2" borderId="1" xfId="0" applyFont="1" applyFill="1" applyBorder="1" applyAlignment="1">
      <alignment horizontal="justify" vertical="center"/>
    </xf>
    <xf numFmtId="0" fontId="7" fillId="14" borderId="1" xfId="0" applyFont="1" applyFill="1" applyBorder="1" applyAlignment="1">
      <alignment horizontal="center" vertical="center" wrapText="1"/>
    </xf>
    <xf numFmtId="0" fontId="7" fillId="14" borderId="1" xfId="0" applyFont="1" applyFill="1" applyBorder="1" applyAlignment="1">
      <alignment horizontal="justify" vertical="top"/>
    </xf>
    <xf numFmtId="0" fontId="7" fillId="14" borderId="1" xfId="0" applyFont="1" applyFill="1" applyBorder="1" applyAlignment="1">
      <alignment horizontal="center" vertical="top" wrapText="1"/>
    </xf>
    <xf numFmtId="167" fontId="7" fillId="14" borderId="1" xfId="0" applyNumberFormat="1" applyFont="1" applyFill="1" applyBorder="1" applyAlignment="1">
      <alignment horizontal="center" vertical="top" wrapText="1"/>
    </xf>
    <xf numFmtId="0" fontId="7" fillId="14" borderId="1" xfId="0" applyFont="1" applyFill="1" applyBorder="1" applyAlignment="1">
      <alignment horizontal="justify" vertical="top" wrapText="1"/>
    </xf>
    <xf numFmtId="0" fontId="7" fillId="14" borderId="1" xfId="0" applyFont="1" applyFill="1" applyBorder="1" applyAlignment="1">
      <alignment horizontal="justify" vertical="center" wrapText="1"/>
    </xf>
    <xf numFmtId="0" fontId="7" fillId="11" borderId="1" xfId="0" applyFont="1" applyFill="1" applyBorder="1" applyAlignment="1">
      <alignment horizontal="justify" vertical="center"/>
    </xf>
    <xf numFmtId="0" fontId="7" fillId="11" borderId="1" xfId="0" applyFont="1" applyFill="1" applyBorder="1" applyAlignment="1">
      <alignment horizontal="center" vertical="center" wrapText="1"/>
    </xf>
    <xf numFmtId="9" fontId="7" fillId="11" borderId="1" xfId="0" applyNumberFormat="1" applyFont="1" applyFill="1" applyBorder="1" applyAlignment="1">
      <alignment horizontal="center" vertical="center" wrapText="1"/>
    </xf>
    <xf numFmtId="0" fontId="7" fillId="11" borderId="1" xfId="0" applyFont="1" applyFill="1" applyBorder="1" applyAlignment="1">
      <alignment horizontal="center" vertical="top"/>
    </xf>
    <xf numFmtId="0" fontId="7" fillId="11" borderId="1" xfId="0" applyFont="1" applyFill="1" applyBorder="1" applyAlignment="1">
      <alignment horizontal="justify" vertical="top"/>
    </xf>
    <xf numFmtId="1" fontId="7" fillId="11" borderId="1" xfId="7" applyNumberFormat="1" applyFont="1" applyFill="1" applyBorder="1" applyAlignment="1">
      <alignment horizontal="center" vertical="center" wrapText="1"/>
    </xf>
    <xf numFmtId="9" fontId="7" fillId="11" borderId="1" xfId="7" applyFont="1" applyFill="1" applyBorder="1" applyAlignment="1">
      <alignment horizontal="center" vertical="center" wrapText="1"/>
    </xf>
    <xf numFmtId="167" fontId="7" fillId="11" borderId="1" xfId="0" applyNumberFormat="1" applyFont="1" applyFill="1" applyBorder="1" applyAlignment="1">
      <alignment horizontal="center" vertical="top"/>
    </xf>
    <xf numFmtId="9" fontId="7" fillId="6" borderId="1" xfId="0" applyNumberFormat="1" applyFont="1" applyFill="1" applyBorder="1" applyAlignment="1">
      <alignment horizontal="center" vertical="top"/>
    </xf>
    <xf numFmtId="9" fontId="7" fillId="2" borderId="1" xfId="0" applyNumberFormat="1" applyFont="1" applyFill="1" applyBorder="1" applyAlignment="1">
      <alignment horizontal="center" vertical="top" wrapText="1"/>
    </xf>
    <xf numFmtId="9" fontId="7" fillId="11" borderId="1" xfId="0" applyNumberFormat="1" applyFont="1" applyFill="1" applyBorder="1" applyAlignment="1">
      <alignment horizontal="center" vertical="top"/>
    </xf>
    <xf numFmtId="167" fontId="7" fillId="6" borderId="1" xfId="0" applyNumberFormat="1" applyFont="1" applyFill="1" applyBorder="1" applyAlignment="1">
      <alignment horizontal="center" vertical="top"/>
    </xf>
    <xf numFmtId="0" fontId="7" fillId="6" borderId="1" xfId="0" applyFont="1" applyFill="1" applyBorder="1" applyAlignment="1">
      <alignment horizontal="justify" vertical="center"/>
    </xf>
    <xf numFmtId="167" fontId="7" fillId="7" borderId="1" xfId="0" applyNumberFormat="1" applyFont="1" applyFill="1" applyBorder="1" applyAlignment="1">
      <alignment horizontal="justify" vertical="top"/>
    </xf>
    <xf numFmtId="0" fontId="7" fillId="7" borderId="1" xfId="0" applyFont="1" applyFill="1" applyBorder="1" applyAlignment="1">
      <alignment horizontal="justify" vertical="center"/>
    </xf>
    <xf numFmtId="167" fontId="7" fillId="7" borderId="1" xfId="0" applyNumberFormat="1" applyFont="1" applyFill="1" applyBorder="1" applyAlignment="1">
      <alignment horizontal="center" vertical="top"/>
    </xf>
    <xf numFmtId="167" fontId="10" fillId="2" borderId="1" xfId="0" applyNumberFormat="1" applyFont="1" applyFill="1" applyBorder="1" applyAlignment="1">
      <alignment horizontal="center" vertical="top" wrapText="1"/>
    </xf>
    <xf numFmtId="0" fontId="10" fillId="2" borderId="1" xfId="0" applyFont="1" applyFill="1" applyBorder="1" applyAlignment="1">
      <alignment horizontal="justify" vertical="top" wrapText="1"/>
    </xf>
    <xf numFmtId="0" fontId="10" fillId="2" borderId="1" xfId="0" applyFont="1" applyFill="1" applyBorder="1" applyAlignment="1">
      <alignment horizontal="justify" vertical="center" wrapText="1"/>
    </xf>
    <xf numFmtId="165" fontId="7" fillId="8" borderId="1" xfId="0" applyNumberFormat="1" applyFont="1" applyFill="1" applyBorder="1" applyAlignment="1">
      <alignment horizontal="center" vertical="top" wrapText="1"/>
    </xf>
    <xf numFmtId="1" fontId="7" fillId="8" borderId="1" xfId="0" applyNumberFormat="1" applyFont="1" applyFill="1" applyBorder="1" applyAlignment="1">
      <alignment horizontal="center" vertical="top" wrapText="1"/>
    </xf>
    <xf numFmtId="0" fontId="7" fillId="8" borderId="1" xfId="0" applyFont="1" applyFill="1" applyBorder="1" applyAlignment="1">
      <alignment horizontal="justify" vertical="center" wrapText="1"/>
    </xf>
    <xf numFmtId="167" fontId="7" fillId="8" borderId="1" xfId="0" applyNumberFormat="1" applyFont="1" applyFill="1" applyBorder="1" applyAlignment="1">
      <alignment horizontal="center" vertical="top" wrapText="1"/>
    </xf>
    <xf numFmtId="0" fontId="7" fillId="2" borderId="1" xfId="5" applyNumberFormat="1" applyFont="1" applyFill="1" applyBorder="1" applyAlignment="1">
      <alignment horizontal="center" vertical="top" wrapText="1"/>
    </xf>
    <xf numFmtId="167" fontId="7" fillId="2" borderId="1" xfId="5" applyNumberFormat="1" applyFont="1" applyFill="1" applyBorder="1" applyAlignment="1">
      <alignment horizontal="center" vertical="top" wrapText="1"/>
    </xf>
    <xf numFmtId="0" fontId="7" fillId="2" borderId="1" xfId="5" applyNumberFormat="1" applyFont="1" applyFill="1" applyBorder="1" applyAlignment="1">
      <alignment horizontal="justify" vertical="top" wrapText="1"/>
    </xf>
    <xf numFmtId="0" fontId="7" fillId="2" borderId="1" xfId="5" applyNumberFormat="1" applyFont="1" applyFill="1" applyBorder="1" applyAlignment="1">
      <alignment horizontal="justify" vertical="center" wrapText="1"/>
    </xf>
    <xf numFmtId="0" fontId="11" fillId="0" borderId="0" xfId="0" applyFont="1" applyAlignment="1">
      <alignment horizontal="left" vertical="center" readingOrder="1"/>
    </xf>
    <xf numFmtId="3" fontId="7" fillId="5" borderId="1" xfId="0" applyNumberFormat="1" applyFont="1" applyFill="1" applyBorder="1" applyAlignment="1">
      <alignment horizontal="right" vertical="top"/>
    </xf>
    <xf numFmtId="9" fontId="7" fillId="6" borderId="1" xfId="7" applyFont="1" applyFill="1" applyBorder="1" applyAlignment="1">
      <alignment horizontal="center" vertical="top" wrapText="1"/>
    </xf>
    <xf numFmtId="9" fontId="7" fillId="6" borderId="1" xfId="7" applyFont="1" applyFill="1" applyBorder="1" applyAlignment="1">
      <alignment horizontal="center" vertical="top"/>
    </xf>
    <xf numFmtId="9" fontId="7" fillId="4" borderId="1" xfId="7" applyFont="1" applyFill="1" applyBorder="1" applyAlignment="1">
      <alignment horizontal="center" vertical="center" wrapText="1"/>
    </xf>
    <xf numFmtId="0" fontId="7" fillId="4" borderId="1" xfId="0" applyFont="1" applyFill="1" applyBorder="1" applyAlignment="1">
      <alignment horizontal="justify" vertical="justify" wrapText="1"/>
    </xf>
    <xf numFmtId="9" fontId="7" fillId="7" borderId="1" xfId="7" applyFont="1" applyFill="1" applyBorder="1" applyAlignment="1">
      <alignment horizontal="center" vertical="top"/>
    </xf>
    <xf numFmtId="9" fontId="7" fillId="8" borderId="1" xfId="7" applyFont="1" applyFill="1" applyBorder="1" applyAlignment="1">
      <alignment horizontal="center" vertical="center" wrapText="1"/>
    </xf>
    <xf numFmtId="10" fontId="7" fillId="5" borderId="1" xfId="7" applyNumberFormat="1" applyFont="1" applyFill="1" applyBorder="1" applyAlignment="1">
      <alignment horizontal="center" vertical="top"/>
    </xf>
    <xf numFmtId="9" fontId="7" fillId="2" borderId="1" xfId="7" applyFont="1" applyFill="1" applyBorder="1" applyAlignment="1">
      <alignment horizontal="center" vertical="center" wrapText="1"/>
    </xf>
    <xf numFmtId="9" fontId="7" fillId="12" borderId="1" xfId="0" applyNumberFormat="1" applyFont="1" applyFill="1" applyBorder="1" applyAlignment="1">
      <alignment horizontal="center" vertical="center"/>
    </xf>
    <xf numFmtId="0" fontId="7" fillId="12" borderId="1" xfId="0" applyFont="1" applyFill="1" applyBorder="1" applyAlignment="1">
      <alignment horizontal="center" vertical="top" wrapText="1"/>
    </xf>
    <xf numFmtId="14" fontId="7" fillId="12" borderId="1" xfId="0" applyNumberFormat="1" applyFont="1" applyFill="1" applyBorder="1" applyAlignment="1">
      <alignment horizontal="center" vertical="top"/>
    </xf>
    <xf numFmtId="0" fontId="7" fillId="12" borderId="1" xfId="0" applyFont="1" applyFill="1" applyBorder="1" applyAlignment="1">
      <alignment horizontal="center" vertical="center"/>
    </xf>
    <xf numFmtId="9" fontId="7" fillId="12" borderId="1" xfId="7" applyFont="1" applyFill="1" applyBorder="1" applyAlignment="1">
      <alignment horizontal="center" vertical="center"/>
    </xf>
    <xf numFmtId="0" fontId="7" fillId="9" borderId="1" xfId="0" applyFont="1" applyFill="1" applyBorder="1" applyAlignment="1">
      <alignment horizontal="center" vertical="center"/>
    </xf>
    <xf numFmtId="9" fontId="7" fillId="9" borderId="1" xfId="0" applyNumberFormat="1" applyFont="1" applyFill="1" applyBorder="1" applyAlignment="1">
      <alignment horizontal="center" vertical="center"/>
    </xf>
    <xf numFmtId="0" fontId="6" fillId="4" borderId="1" xfId="1" applyFill="1" applyBorder="1" applyAlignment="1">
      <alignment horizontal="center" vertical="top" wrapText="1"/>
    </xf>
    <xf numFmtId="0" fontId="6" fillId="2" borderId="1" xfId="1" applyFill="1" applyBorder="1" applyAlignment="1">
      <alignment horizontal="center" vertical="top" wrapText="1"/>
    </xf>
    <xf numFmtId="9" fontId="7" fillId="13" borderId="1" xfId="0" applyNumberFormat="1" applyFont="1" applyFill="1" applyBorder="1" applyAlignment="1">
      <alignment horizontal="center" vertical="top"/>
    </xf>
    <xf numFmtId="9" fontId="7" fillId="7" borderId="1" xfId="7" applyFont="1" applyFill="1" applyBorder="1" applyAlignment="1">
      <alignment horizontal="center" vertical="center" wrapText="1"/>
    </xf>
    <xf numFmtId="0" fontId="7" fillId="10" borderId="1" xfId="0" applyFont="1" applyFill="1" applyBorder="1" applyAlignment="1">
      <alignment horizontal="center" vertical="center"/>
    </xf>
    <xf numFmtId="9" fontId="7" fillId="10"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top"/>
    </xf>
    <xf numFmtId="0" fontId="7" fillId="14" borderId="1" xfId="0" applyFont="1" applyFill="1" applyBorder="1" applyAlignment="1">
      <alignment horizontal="center" vertical="center"/>
    </xf>
    <xf numFmtId="9" fontId="7" fillId="14" borderId="1" xfId="7" applyFont="1" applyFill="1" applyBorder="1" applyAlignment="1">
      <alignment horizontal="center" vertical="center"/>
    </xf>
    <xf numFmtId="9" fontId="7" fillId="14" borderId="1" xfId="0" applyNumberFormat="1" applyFont="1" applyFill="1" applyBorder="1" applyAlignment="1">
      <alignment horizontal="center" vertical="center"/>
    </xf>
    <xf numFmtId="0" fontId="7" fillId="14" borderId="1" xfId="0" applyFont="1" applyFill="1" applyBorder="1" applyAlignment="1">
      <alignment horizontal="left" vertical="top" wrapText="1"/>
    </xf>
    <xf numFmtId="9" fontId="7" fillId="11" borderId="1" xfId="0" applyNumberFormat="1" applyFont="1" applyFill="1" applyBorder="1" applyAlignment="1">
      <alignment horizontal="center" vertical="center"/>
    </xf>
    <xf numFmtId="0" fontId="7" fillId="11" borderId="1" xfId="0" applyFont="1" applyFill="1" applyBorder="1" applyAlignment="1">
      <alignment horizontal="center" vertical="center" wrapText="1" shrinkToFit="1"/>
    </xf>
    <xf numFmtId="0" fontId="7" fillId="11" borderId="1" xfId="0" applyFont="1" applyFill="1" applyBorder="1" applyAlignment="1">
      <alignment horizontal="center" vertical="center"/>
    </xf>
    <xf numFmtId="9" fontId="7" fillId="5" borderId="1" xfId="7" applyFont="1" applyFill="1" applyBorder="1" applyAlignment="1">
      <alignment horizontal="center" vertical="center"/>
    </xf>
    <xf numFmtId="0" fontId="7" fillId="5" borderId="1" xfId="0" applyFont="1" applyFill="1" applyBorder="1" applyAlignment="1">
      <alignment horizontal="left" vertical="top" wrapText="1"/>
    </xf>
    <xf numFmtId="0" fontId="7" fillId="5" borderId="1" xfId="0" applyFont="1" applyFill="1" applyBorder="1" applyAlignment="1">
      <alignment vertical="center" wrapText="1"/>
    </xf>
    <xf numFmtId="0" fontId="7" fillId="6" borderId="1" xfId="0" applyFont="1" applyFill="1" applyBorder="1" applyAlignment="1">
      <alignment horizontal="center" vertical="center"/>
    </xf>
    <xf numFmtId="9" fontId="7" fillId="6" borderId="1" xfId="0" applyNumberFormat="1" applyFont="1" applyFill="1" applyBorder="1" applyAlignment="1">
      <alignment horizontal="center" vertical="center"/>
    </xf>
    <xf numFmtId="10" fontId="7" fillId="6" borderId="1" xfId="0" applyNumberFormat="1" applyFont="1" applyFill="1" applyBorder="1" applyAlignment="1">
      <alignment horizontal="center" vertical="center" wrapText="1"/>
    </xf>
    <xf numFmtId="165" fontId="7" fillId="6" borderId="1" xfId="4" applyFont="1" applyFill="1" applyBorder="1" applyAlignment="1">
      <alignment horizontal="justify" vertical="top"/>
    </xf>
    <xf numFmtId="0" fontId="7" fillId="2" borderId="1" xfId="7" applyNumberFormat="1" applyFont="1" applyFill="1" applyBorder="1" applyAlignment="1">
      <alignment horizontal="center" vertical="center" wrapText="1"/>
    </xf>
    <xf numFmtId="0" fontId="10" fillId="12" borderId="1" xfId="1" applyFont="1" applyFill="1" applyBorder="1" applyAlignment="1">
      <alignment horizontal="justify" vertical="top"/>
    </xf>
    <xf numFmtId="0" fontId="7" fillId="4" borderId="1" xfId="7" applyNumberFormat="1" applyFont="1" applyFill="1" applyBorder="1" applyAlignment="1">
      <alignment horizontal="center" vertical="center" wrapText="1"/>
    </xf>
    <xf numFmtId="169" fontId="7" fillId="4" borderId="1" xfId="7" applyNumberFormat="1" applyFont="1" applyFill="1" applyBorder="1" applyAlignment="1">
      <alignment horizontal="center" vertical="center" wrapText="1"/>
    </xf>
    <xf numFmtId="165" fontId="7" fillId="4" borderId="1" xfId="4" applyFont="1" applyFill="1" applyBorder="1" applyAlignment="1">
      <alignment horizontal="center" vertical="top" wrapText="1"/>
    </xf>
    <xf numFmtId="2" fontId="7" fillId="4" borderId="1" xfId="2" applyNumberFormat="1" applyFont="1" applyFill="1" applyBorder="1" applyAlignment="1">
      <alignment horizontal="center" vertical="center" wrapText="1"/>
    </xf>
    <xf numFmtId="0" fontId="6" fillId="4" borderId="1" xfId="1" applyFill="1" applyBorder="1" applyAlignment="1">
      <alignment horizontal="left" vertical="top" wrapText="1"/>
    </xf>
    <xf numFmtId="1" fontId="7" fillId="9" borderId="1" xfId="7" applyNumberFormat="1" applyFont="1" applyFill="1" applyBorder="1" applyAlignment="1">
      <alignment horizontal="center" vertical="center"/>
    </xf>
    <xf numFmtId="3" fontId="7" fillId="9" borderId="1" xfId="0" applyNumberFormat="1" applyFont="1" applyFill="1" applyBorder="1" applyAlignment="1">
      <alignment horizontal="center" vertical="center"/>
    </xf>
    <xf numFmtId="0" fontId="8" fillId="2" borderId="1" xfId="1" applyFont="1" applyFill="1" applyBorder="1" applyAlignment="1">
      <alignment horizontal="center" vertical="top" wrapText="1"/>
    </xf>
    <xf numFmtId="2" fontId="7" fillId="4" borderId="1" xfId="7"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169" fontId="7" fillId="13" borderId="1" xfId="0" applyNumberFormat="1" applyFont="1" applyFill="1" applyBorder="1" applyAlignment="1">
      <alignment horizontal="center" vertical="top"/>
    </xf>
    <xf numFmtId="0" fontId="7" fillId="7" borderId="1" xfId="7" applyNumberFormat="1" applyFont="1" applyFill="1" applyBorder="1" applyAlignment="1">
      <alignment horizontal="center" vertical="center" wrapText="1"/>
    </xf>
    <xf numFmtId="0" fontId="6" fillId="9" borderId="1" xfId="1" applyFill="1" applyBorder="1" applyAlignment="1">
      <alignment horizontal="left" vertical="top" wrapText="1"/>
    </xf>
    <xf numFmtId="0" fontId="8" fillId="9" borderId="1" xfId="1" applyFont="1" applyFill="1" applyBorder="1" applyAlignment="1">
      <alignment horizontal="center" vertical="top" wrapText="1"/>
    </xf>
    <xf numFmtId="0" fontId="7" fillId="14" borderId="1" xfId="7" applyNumberFormat="1" applyFont="1" applyFill="1" applyBorder="1" applyAlignment="1">
      <alignment horizontal="center" vertical="center"/>
    </xf>
    <xf numFmtId="0" fontId="7" fillId="11" borderId="1" xfId="0" applyFont="1" applyFill="1" applyBorder="1" applyAlignment="1">
      <alignment horizontal="center" vertical="top" wrapText="1"/>
    </xf>
    <xf numFmtId="0" fontId="7" fillId="17" borderId="1" xfId="0" applyFont="1" applyFill="1" applyBorder="1" applyAlignment="1">
      <alignment horizontal="center" vertical="center"/>
    </xf>
    <xf numFmtId="165" fontId="7" fillId="11" borderId="1" xfId="4" applyFont="1" applyFill="1" applyBorder="1" applyAlignment="1">
      <alignment horizontal="center" vertical="top"/>
    </xf>
    <xf numFmtId="0" fontId="6" fillId="11" borderId="1" xfId="1" applyFill="1" applyBorder="1" applyAlignment="1">
      <alignment horizontal="center" vertical="top" wrapText="1"/>
    </xf>
    <xf numFmtId="0" fontId="6" fillId="5" borderId="1" xfId="1" applyFill="1" applyBorder="1" applyAlignment="1">
      <alignment horizontal="center" vertical="center" wrapText="1"/>
    </xf>
    <xf numFmtId="9" fontId="7" fillId="13" borderId="1" xfId="7" applyFont="1" applyFill="1" applyBorder="1" applyAlignment="1">
      <alignment horizontal="center" vertical="top"/>
    </xf>
    <xf numFmtId="0" fontId="7" fillId="5" borderId="1" xfId="0" applyFont="1" applyFill="1" applyBorder="1" applyAlignment="1">
      <alignment horizontal="justify" vertical="top"/>
    </xf>
    <xf numFmtId="0" fontId="7" fillId="5" borderId="1" xfId="0" applyFont="1" applyFill="1" applyBorder="1" applyAlignment="1">
      <alignment horizontal="justify" vertical="top" wrapText="1"/>
    </xf>
    <xf numFmtId="0" fontId="7" fillId="10" borderId="1" xfId="0" applyFont="1" applyFill="1" applyBorder="1" applyAlignment="1">
      <alignment horizontal="center" vertical="top" wrapText="1"/>
    </xf>
    <xf numFmtId="0" fontId="7" fillId="10" borderId="1" xfId="0" applyFont="1" applyFill="1" applyBorder="1" applyAlignment="1">
      <alignment horizontal="justify" vertical="top" wrapText="1"/>
    </xf>
    <xf numFmtId="0" fontId="7" fillId="10" borderId="1" xfId="0" applyFont="1" applyFill="1" applyBorder="1" applyAlignment="1">
      <alignment horizontal="center" vertical="center" wrapText="1"/>
    </xf>
    <xf numFmtId="9" fontId="7" fillId="2" borderId="1" xfId="7" applyFont="1" applyFill="1" applyBorder="1" applyAlignment="1">
      <alignment horizontal="justify" vertical="top" wrapText="1"/>
    </xf>
    <xf numFmtId="1" fontId="7" fillId="10" borderId="1" xfId="2" applyNumberFormat="1" applyFont="1" applyFill="1" applyBorder="1" applyAlignment="1">
      <alignment horizontal="center" vertical="center"/>
    </xf>
    <xf numFmtId="9" fontId="7" fillId="10" borderId="1" xfId="7" applyFont="1" applyFill="1" applyBorder="1" applyAlignment="1">
      <alignment horizontal="center" vertical="center"/>
    </xf>
    <xf numFmtId="9" fontId="7" fillId="10" borderId="1" xfId="7" applyFont="1" applyFill="1" applyBorder="1" applyAlignment="1">
      <alignment horizontal="center" vertical="center" wrapText="1"/>
    </xf>
    <xf numFmtId="10" fontId="7" fillId="10" borderId="1" xfId="0" applyNumberFormat="1" applyFont="1" applyFill="1" applyBorder="1" applyAlignment="1">
      <alignment horizontal="center" vertical="center"/>
    </xf>
    <xf numFmtId="172" fontId="7" fillId="9" borderId="1" xfId="7"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7" fillId="5" borderId="6" xfId="0" applyFont="1" applyFill="1" applyBorder="1" applyAlignment="1">
      <alignment horizontal="justify" vertical="top"/>
    </xf>
    <xf numFmtId="0" fontId="0" fillId="1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9" fillId="0" borderId="1" xfId="0" applyFont="1" applyBorder="1" applyAlignment="1">
      <alignment horizontal="center" vertical="center" wrapText="1"/>
    </xf>
    <xf numFmtId="166" fontId="20" fillId="0" borderId="1" xfId="0" applyNumberFormat="1" applyFont="1" applyBorder="1" applyAlignment="1">
      <alignment horizontal="center" vertical="center" wrapText="1"/>
    </xf>
    <xf numFmtId="0" fontId="19" fillId="2"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1" fillId="0" borderId="0" xfId="0" applyFont="1"/>
    <xf numFmtId="3" fontId="7" fillId="5" borderId="1" xfId="0" applyNumberFormat="1" applyFont="1" applyFill="1" applyBorder="1" applyAlignment="1">
      <alignment horizontal="center" vertical="center"/>
    </xf>
    <xf numFmtId="3" fontId="7" fillId="5" borderId="1" xfId="0" applyNumberFormat="1" applyFont="1" applyFill="1" applyBorder="1" applyAlignment="1">
      <alignment vertical="center"/>
    </xf>
    <xf numFmtId="0" fontId="10" fillId="6" borderId="1" xfId="0" applyFont="1" applyFill="1" applyBorder="1" applyAlignment="1">
      <alignment horizontal="center" vertical="center" wrapText="1"/>
    </xf>
    <xf numFmtId="0" fontId="7" fillId="6" borderId="1" xfId="0" applyFont="1" applyFill="1" applyBorder="1" applyAlignment="1">
      <alignment vertical="center" wrapText="1"/>
    </xf>
    <xf numFmtId="9" fontId="7" fillId="6" borderId="1" xfId="7" applyFont="1" applyFill="1" applyBorder="1" applyAlignment="1">
      <alignment horizontal="center" vertical="center"/>
    </xf>
    <xf numFmtId="41" fontId="7" fillId="6" borderId="1" xfId="3" applyFont="1" applyFill="1" applyBorder="1" applyAlignment="1">
      <alignment horizontal="center" vertical="center"/>
    </xf>
    <xf numFmtId="41" fontId="7" fillId="6" borderId="1" xfId="7" applyNumberFormat="1" applyFont="1" applyFill="1" applyBorder="1" applyAlignment="1">
      <alignment horizontal="center" vertical="center"/>
    </xf>
    <xf numFmtId="0" fontId="7" fillId="6" borderId="1" xfId="0" applyFont="1" applyFill="1" applyBorder="1" applyAlignment="1">
      <alignment vertical="center"/>
    </xf>
    <xf numFmtId="0" fontId="19" fillId="18" borderId="2" xfId="0" applyFont="1" applyFill="1" applyBorder="1" applyAlignment="1">
      <alignment horizontal="center" vertical="center" wrapText="1"/>
    </xf>
    <xf numFmtId="9" fontId="7" fillId="6" borderId="1" xfId="0" applyNumberFormat="1" applyFont="1" applyFill="1" applyBorder="1" applyAlignment="1">
      <alignment vertical="center"/>
    </xf>
    <xf numFmtId="0" fontId="7" fillId="6" borderId="1" xfId="0" applyFont="1" applyFill="1" applyBorder="1" applyAlignment="1">
      <alignment horizontal="justify" vertical="top" wrapText="1"/>
    </xf>
    <xf numFmtId="0" fontId="7" fillId="6" borderId="1" xfId="0" applyFont="1" applyFill="1" applyBorder="1" applyAlignment="1">
      <alignment horizontal="center" vertical="top" wrapText="1"/>
    </xf>
    <xf numFmtId="4" fontId="7" fillId="4"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xf>
    <xf numFmtId="9" fontId="7" fillId="7" borderId="1" xfId="0" applyNumberFormat="1" applyFont="1" applyFill="1" applyBorder="1" applyAlignment="1">
      <alignment horizontal="center" vertical="center"/>
    </xf>
    <xf numFmtId="0" fontId="0" fillId="7" borderId="1" xfId="0" applyFont="1" applyFill="1" applyBorder="1" applyAlignment="1">
      <alignment horizontal="justify" vertical="center" wrapText="1"/>
    </xf>
    <xf numFmtId="0" fontId="0"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3" fontId="7" fillId="12" borderId="1" xfId="0" applyNumberFormat="1" applyFont="1" applyFill="1" applyBorder="1" applyAlignment="1">
      <alignment horizontal="center" vertical="center"/>
    </xf>
    <xf numFmtId="168" fontId="7" fillId="12" borderId="1" xfId="0" applyNumberFormat="1" applyFont="1" applyFill="1" applyBorder="1" applyAlignment="1">
      <alignment horizontal="center" vertical="center"/>
    </xf>
    <xf numFmtId="0" fontId="7" fillId="1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9" fontId="7" fillId="12" borderId="1" xfId="7" applyNumberFormat="1" applyFont="1" applyFill="1" applyBorder="1" applyAlignment="1">
      <alignment horizontal="center" vertical="center" wrapText="1"/>
    </xf>
    <xf numFmtId="169" fontId="22" fillId="18" borderId="1" xfId="7" applyNumberFormat="1" applyFont="1" applyFill="1" applyBorder="1" applyAlignment="1">
      <alignment horizontal="center" vertical="center" wrapText="1"/>
    </xf>
    <xf numFmtId="169" fontId="23" fillId="18" borderId="1" xfId="0" applyNumberFormat="1" applyFont="1" applyFill="1" applyBorder="1" applyAlignment="1">
      <alignment vertical="center" wrapText="1"/>
    </xf>
    <xf numFmtId="10" fontId="22" fillId="18" borderId="1" xfId="7" applyNumberFormat="1" applyFont="1" applyFill="1" applyBorder="1" applyAlignment="1">
      <alignment horizontal="center" vertical="center" wrapText="1"/>
    </xf>
    <xf numFmtId="0" fontId="7" fillId="19" borderId="1" xfId="0" applyFont="1" applyFill="1" applyBorder="1" applyAlignment="1">
      <alignment horizontal="justify" vertical="top" wrapText="1"/>
    </xf>
    <xf numFmtId="3" fontId="7" fillId="19" borderId="1" xfId="0" applyNumberFormat="1" applyFont="1" applyFill="1" applyBorder="1" applyAlignment="1">
      <alignment horizontal="center" vertical="center" wrapText="1"/>
    </xf>
    <xf numFmtId="9" fontId="7" fillId="19" borderId="1" xfId="0" applyNumberFormat="1" applyFont="1" applyFill="1" applyBorder="1" applyAlignment="1">
      <alignment horizontal="center" vertical="center" wrapText="1"/>
    </xf>
    <xf numFmtId="169" fontId="7" fillId="19" borderId="1" xfId="7" applyNumberFormat="1" applyFont="1" applyFill="1" applyBorder="1" applyAlignment="1">
      <alignment horizontal="center" vertical="center" wrapText="1"/>
    </xf>
    <xf numFmtId="0" fontId="7" fillId="19" borderId="1" xfId="0" applyFont="1" applyFill="1" applyBorder="1" applyAlignment="1">
      <alignment horizontal="justify" vertical="center" wrapText="1"/>
    </xf>
    <xf numFmtId="167" fontId="7" fillId="19" borderId="1" xfId="0" applyNumberFormat="1" applyFont="1" applyFill="1" applyBorder="1" applyAlignment="1">
      <alignment horizontal="center" vertical="center" wrapText="1"/>
    </xf>
    <xf numFmtId="0" fontId="7" fillId="19" borderId="1" xfId="0" applyFont="1" applyFill="1" applyBorder="1" applyAlignment="1">
      <alignment horizontal="left" vertical="center" wrapText="1"/>
    </xf>
    <xf numFmtId="167" fontId="7" fillId="19" borderId="1" xfId="0" applyNumberFormat="1" applyFont="1" applyFill="1" applyBorder="1" applyAlignment="1">
      <alignment vertical="center" wrapText="1"/>
    </xf>
    <xf numFmtId="0" fontId="7" fillId="19" borderId="1" xfId="0" applyFont="1" applyFill="1" applyBorder="1" applyAlignment="1">
      <alignment horizontal="center" vertical="center"/>
    </xf>
    <xf numFmtId="9" fontId="24" fillId="12" borderId="1" xfId="0" applyNumberFormat="1" applyFont="1" applyFill="1" applyBorder="1" applyAlignment="1">
      <alignment horizontal="center" vertical="center"/>
    </xf>
    <xf numFmtId="9" fontId="24" fillId="6" borderId="1" xfId="7" applyFont="1" applyFill="1" applyBorder="1" applyAlignment="1">
      <alignment horizontal="center" vertical="center"/>
    </xf>
    <xf numFmtId="9" fontId="24" fillId="6" borderId="1" xfId="0" applyNumberFormat="1" applyFont="1" applyFill="1" applyBorder="1" applyAlignment="1">
      <alignment horizontal="center" vertical="center"/>
    </xf>
    <xf numFmtId="10" fontId="24" fillId="6" borderId="1" xfId="0" applyNumberFormat="1" applyFont="1" applyFill="1" applyBorder="1" applyAlignment="1">
      <alignment vertical="center"/>
    </xf>
    <xf numFmtId="9" fontId="24" fillId="7" borderId="1" xfId="0" applyNumberFormat="1" applyFont="1" applyFill="1" applyBorder="1" applyAlignment="1">
      <alignment horizontal="center" vertical="center"/>
    </xf>
    <xf numFmtId="10" fontId="24" fillId="2" borderId="1" xfId="7" applyNumberFormat="1" applyFont="1" applyFill="1" applyBorder="1" applyAlignment="1">
      <alignment horizontal="center" vertical="center" wrapText="1"/>
    </xf>
    <xf numFmtId="169" fontId="7" fillId="8" borderId="1" xfId="7"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169" fontId="22" fillId="18" borderId="1" xfId="0" applyNumberFormat="1" applyFont="1" applyFill="1" applyBorder="1" applyAlignment="1">
      <alignment horizontal="center" vertical="center" wrapText="1"/>
    </xf>
    <xf numFmtId="9" fontId="22" fillId="18" borderId="1" xfId="7"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69" fontId="7" fillId="2" borderId="1" xfId="7" applyNumberFormat="1" applyFont="1" applyFill="1" applyBorder="1" applyAlignment="1">
      <alignment horizontal="center" vertical="center" wrapText="1"/>
    </xf>
    <xf numFmtId="171" fontId="22" fillId="18" borderId="1" xfId="2" applyNumberFormat="1" applyFont="1" applyFill="1" applyBorder="1" applyAlignment="1">
      <alignment horizontal="center" vertical="center" wrapText="1"/>
    </xf>
    <xf numFmtId="9" fontId="7" fillId="9" borderId="1" xfId="0" applyNumberFormat="1" applyFont="1" applyFill="1" applyBorder="1" applyAlignment="1">
      <alignment horizontal="center" vertical="center" wrapText="1"/>
    </xf>
    <xf numFmtId="10" fontId="7" fillId="9" borderId="1" xfId="0" applyNumberFormat="1" applyFont="1" applyFill="1" applyBorder="1" applyAlignment="1">
      <alignment horizontal="center" vertical="center" wrapText="1"/>
    </xf>
    <xf numFmtId="170" fontId="25" fillId="9" borderId="1" xfId="2" applyNumberFormat="1" applyFont="1" applyFill="1" applyBorder="1" applyAlignment="1">
      <alignment horizontal="center" vertical="center" wrapText="1"/>
    </xf>
    <xf numFmtId="171" fontId="25" fillId="9" borderId="1" xfId="2" applyNumberFormat="1" applyFont="1" applyFill="1" applyBorder="1" applyAlignment="1">
      <alignment horizontal="center" vertical="center" wrapText="1"/>
    </xf>
    <xf numFmtId="171" fontId="17" fillId="9" borderId="1" xfId="2" applyNumberFormat="1" applyFont="1" applyFill="1" applyBorder="1" applyAlignment="1">
      <alignment horizontal="center" vertical="center" wrapText="1"/>
    </xf>
    <xf numFmtId="9" fontId="7" fillId="9" borderId="1" xfId="7" applyFont="1" applyFill="1" applyBorder="1" applyAlignment="1">
      <alignment horizontal="center" vertical="center" wrapText="1"/>
    </xf>
    <xf numFmtId="0" fontId="26" fillId="0" borderId="3" xfId="0" applyFont="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0" fontId="26" fillId="19" borderId="1" xfId="0" applyFont="1" applyFill="1" applyBorder="1" applyAlignment="1">
      <alignment horizontal="justify" vertical="center" wrapText="1"/>
    </xf>
    <xf numFmtId="0" fontId="26" fillId="19" borderId="1" xfId="0" applyFont="1" applyFill="1" applyBorder="1" applyAlignment="1">
      <alignment horizontal="justify" vertical="top" wrapText="1"/>
    </xf>
    <xf numFmtId="0" fontId="27" fillId="7"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0" fillId="0" borderId="0" xfId="0" applyFont="1"/>
    <xf numFmtId="43" fontId="7" fillId="4" borderId="1" xfId="2" applyFont="1" applyFill="1" applyBorder="1" applyAlignment="1">
      <alignment horizontal="center" vertical="center" wrapText="1"/>
    </xf>
    <xf numFmtId="173" fontId="7" fillId="4" borderId="1" xfId="2" applyNumberFormat="1" applyFont="1" applyFill="1" applyBorder="1" applyAlignment="1">
      <alignment horizontal="center" vertical="center" wrapText="1"/>
    </xf>
    <xf numFmtId="173" fontId="7" fillId="4" borderId="1" xfId="0" applyNumberFormat="1" applyFont="1" applyFill="1" applyBorder="1" applyAlignment="1">
      <alignment horizontal="center" vertical="center" wrapText="1"/>
    </xf>
    <xf numFmtId="169" fontId="7" fillId="4" borderId="1" xfId="0" applyNumberFormat="1" applyFont="1" applyFill="1" applyBorder="1" applyAlignment="1">
      <alignment horizontal="center" vertical="center" wrapText="1"/>
    </xf>
    <xf numFmtId="43" fontId="7" fillId="2" borderId="1" xfId="2" applyFont="1" applyFill="1" applyBorder="1" applyAlignment="1">
      <alignment horizontal="center" vertical="center" wrapText="1"/>
    </xf>
    <xf numFmtId="9" fontId="22" fillId="18" borderId="1" xfId="0" applyNumberFormat="1" applyFont="1" applyFill="1" applyBorder="1" applyAlignment="1">
      <alignment horizontal="center" vertical="center" wrapText="1"/>
    </xf>
    <xf numFmtId="0" fontId="27" fillId="4" borderId="1" xfId="0" applyFont="1" applyFill="1" applyBorder="1" applyAlignment="1">
      <alignment vertical="top" wrapText="1"/>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0" fillId="10" borderId="1" xfId="0" applyFont="1" applyFill="1" applyBorder="1" applyAlignment="1">
      <alignment horizontal="justify" vertical="top" wrapText="1"/>
    </xf>
    <xf numFmtId="0" fontId="0" fillId="10" borderId="1" xfId="0" applyFont="1" applyFill="1" applyBorder="1" applyAlignment="1">
      <alignment horizontal="center" vertical="top" wrapText="1"/>
    </xf>
    <xf numFmtId="0" fontId="22" fillId="18" borderId="1" xfId="0" applyFont="1" applyFill="1" applyBorder="1" applyAlignment="1">
      <alignment horizontal="center" vertical="center" wrapText="1"/>
    </xf>
    <xf numFmtId="9" fontId="22" fillId="18" borderId="1" xfId="0" applyNumberFormat="1" applyFont="1" applyFill="1" applyBorder="1" applyAlignment="1">
      <alignment horizontal="center" vertical="top"/>
    </xf>
    <xf numFmtId="0" fontId="0" fillId="11" borderId="1" xfId="0" applyFont="1" applyFill="1" applyBorder="1" applyAlignment="1">
      <alignment horizontal="justify" vertical="top" wrapText="1"/>
    </xf>
    <xf numFmtId="0" fontId="30" fillId="5" borderId="1" xfId="0" applyFont="1" applyFill="1" applyBorder="1" applyAlignment="1">
      <alignment horizontal="justify" vertical="top" wrapText="1"/>
    </xf>
    <xf numFmtId="0" fontId="0" fillId="5" borderId="1" xfId="0" applyFont="1" applyFill="1" applyBorder="1" applyAlignment="1">
      <alignment horizontal="justify" vertical="top" wrapText="1"/>
    </xf>
    <xf numFmtId="0" fontId="26" fillId="13" borderId="1" xfId="0" applyFont="1" applyFill="1" applyBorder="1" applyAlignment="1">
      <alignment horizontal="center" vertical="center" wrapText="1"/>
    </xf>
    <xf numFmtId="9" fontId="7" fillId="13" borderId="1" xfId="7" applyFont="1" applyFill="1" applyBorder="1" applyAlignment="1">
      <alignment horizontal="center" vertical="center"/>
    </xf>
    <xf numFmtId="9" fontId="7" fillId="13" borderId="1" xfId="0" applyNumberFormat="1" applyFont="1" applyFill="1" applyBorder="1" applyAlignment="1">
      <alignment horizontal="center" vertical="center"/>
    </xf>
    <xf numFmtId="0" fontId="0" fillId="10" borderId="1" xfId="0" applyFont="1" applyFill="1" applyBorder="1" applyAlignment="1">
      <alignment horizontal="center" vertical="center" wrapText="1"/>
    </xf>
    <xf numFmtId="10" fontId="7" fillId="1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0" fillId="9" borderId="1" xfId="0" applyFont="1" applyFill="1" applyBorder="1" applyAlignment="1">
      <alignment horizontal="center" vertical="center"/>
    </xf>
    <xf numFmtId="0" fontId="0" fillId="11" borderId="1" xfId="0" applyFont="1" applyFill="1" applyBorder="1" applyAlignment="1">
      <alignment horizontal="justify" vertical="center" wrapText="1"/>
    </xf>
    <xf numFmtId="0" fontId="7" fillId="11" borderId="1" xfId="0" applyFont="1" applyFill="1" applyBorder="1" applyAlignment="1">
      <alignment horizontal="justify" vertical="center" wrapText="1"/>
    </xf>
    <xf numFmtId="0" fontId="7" fillId="11" borderId="1" xfId="0" applyFont="1" applyFill="1" applyBorder="1" applyAlignment="1">
      <alignment vertical="center" wrapText="1"/>
    </xf>
    <xf numFmtId="1" fontId="7" fillId="5" borderId="1" xfId="0" applyNumberFormat="1" applyFont="1" applyFill="1" applyBorder="1" applyAlignment="1">
      <alignment horizontal="center" vertical="center"/>
    </xf>
    <xf numFmtId="9" fontId="0" fillId="5" borderId="1" xfId="0" applyNumberFormat="1" applyFont="1" applyFill="1" applyBorder="1" applyAlignment="1">
      <alignment horizontal="center" vertical="center"/>
    </xf>
    <xf numFmtId="9" fontId="7" fillId="2" borderId="1" xfId="7" applyFont="1" applyFill="1" applyBorder="1" applyAlignment="1">
      <alignment horizontal="center" vertical="center"/>
    </xf>
    <xf numFmtId="169" fontId="7" fillId="2" borderId="1" xfId="7" applyNumberFormat="1" applyFont="1" applyFill="1" applyBorder="1" applyAlignment="1">
      <alignment horizontal="center" vertical="center"/>
    </xf>
    <xf numFmtId="9" fontId="7" fillId="14" borderId="1" xfId="0" applyNumberFormat="1" applyFont="1" applyFill="1" applyBorder="1" applyAlignment="1">
      <alignment horizontal="center" vertical="center" wrapText="1"/>
    </xf>
    <xf numFmtId="10" fontId="7" fillId="14" borderId="1" xfId="0" applyNumberFormat="1" applyFont="1" applyFill="1" applyBorder="1" applyAlignment="1">
      <alignment horizontal="center" vertical="center" wrapText="1"/>
    </xf>
    <xf numFmtId="10" fontId="7" fillId="14" borderId="1" xfId="0" applyNumberFormat="1" applyFont="1" applyFill="1" applyBorder="1" applyAlignment="1">
      <alignment horizontal="center" vertical="center"/>
    </xf>
    <xf numFmtId="43" fontId="7" fillId="11" borderId="1" xfId="2" applyFont="1" applyFill="1" applyBorder="1" applyAlignment="1">
      <alignment horizontal="center" vertical="center" wrapText="1"/>
    </xf>
    <xf numFmtId="43" fontId="7" fillId="11" borderId="1" xfId="0" applyNumberFormat="1" applyFont="1" applyFill="1" applyBorder="1" applyAlignment="1">
      <alignment horizontal="center" vertical="center" wrapText="1"/>
    </xf>
    <xf numFmtId="0" fontId="26" fillId="11" borderId="1" xfId="0" applyFont="1" applyFill="1" applyBorder="1" applyAlignment="1">
      <alignment horizontal="justify" vertical="top" wrapText="1"/>
    </xf>
    <xf numFmtId="43" fontId="7" fillId="11" borderId="1" xfId="7" applyNumberFormat="1" applyFont="1" applyFill="1" applyBorder="1" applyAlignment="1">
      <alignment horizontal="center" vertical="center" wrapText="1"/>
    </xf>
    <xf numFmtId="10" fontId="7" fillId="11" borderId="1" xfId="0" applyNumberFormat="1" applyFont="1" applyFill="1" applyBorder="1" applyAlignment="1">
      <alignment horizontal="center" vertical="center" wrapText="1"/>
    </xf>
    <xf numFmtId="10" fontId="7" fillId="5" borderId="1" xfId="2" applyNumberFormat="1" applyFont="1" applyFill="1" applyBorder="1" applyAlignment="1">
      <alignment horizontal="center" vertical="center"/>
    </xf>
    <xf numFmtId="169" fontId="7" fillId="5" borderId="1" xfId="0" applyNumberFormat="1" applyFont="1" applyFill="1" applyBorder="1" applyAlignment="1">
      <alignment horizontal="center" vertical="center"/>
    </xf>
    <xf numFmtId="10" fontId="7" fillId="5" borderId="1" xfId="0" applyNumberFormat="1" applyFont="1" applyFill="1" applyBorder="1" applyAlignment="1">
      <alignment horizontal="center" vertical="center" wrapText="1"/>
    </xf>
    <xf numFmtId="10" fontId="0" fillId="5" borderId="1" xfId="2" applyNumberFormat="1" applyFont="1" applyFill="1" applyBorder="1" applyAlignment="1">
      <alignment horizontal="center" vertical="center"/>
    </xf>
    <xf numFmtId="169" fontId="22" fillId="18" borderId="1" xfId="0" applyNumberFormat="1" applyFont="1" applyFill="1" applyBorder="1" applyAlignment="1">
      <alignment horizontal="center" vertical="center"/>
    </xf>
    <xf numFmtId="0" fontId="22" fillId="18" borderId="1" xfId="0" applyFont="1" applyFill="1" applyBorder="1" applyAlignment="1">
      <alignment vertical="top" wrapText="1"/>
    </xf>
    <xf numFmtId="9" fontId="22" fillId="18" borderId="1" xfId="0" applyNumberFormat="1" applyFont="1" applyFill="1" applyBorder="1" applyAlignment="1">
      <alignment vertical="top" wrapText="1"/>
    </xf>
    <xf numFmtId="169" fontId="22" fillId="18" borderId="1" xfId="0" applyNumberFormat="1" applyFont="1" applyFill="1" applyBorder="1" applyAlignment="1">
      <alignment vertical="top" wrapText="1"/>
    </xf>
    <xf numFmtId="0" fontId="22" fillId="18" borderId="1" xfId="0" applyFont="1" applyFill="1" applyBorder="1" applyAlignment="1">
      <alignment vertical="center"/>
    </xf>
    <xf numFmtId="0" fontId="32"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9" fontId="32" fillId="4" borderId="1" xfId="0" applyNumberFormat="1" applyFont="1" applyFill="1" applyBorder="1" applyAlignment="1">
      <alignment horizontal="center" vertical="center" wrapText="1"/>
    </xf>
    <xf numFmtId="10" fontId="32" fillId="4" borderId="1" xfId="0" applyNumberFormat="1" applyFont="1" applyFill="1" applyBorder="1" applyAlignment="1">
      <alignment horizontal="center" vertical="center" wrapText="1"/>
    </xf>
    <xf numFmtId="169" fontId="32" fillId="4" borderId="1" xfId="7" applyNumberFormat="1" applyFont="1" applyFill="1" applyBorder="1" applyAlignment="1">
      <alignment horizontal="center" vertical="center" wrapText="1"/>
    </xf>
    <xf numFmtId="9" fontId="33" fillId="4" borderId="1" xfId="0" applyNumberFormat="1" applyFont="1" applyFill="1" applyBorder="1" applyAlignment="1">
      <alignment horizontal="center" vertical="center" wrapText="1"/>
    </xf>
    <xf numFmtId="9" fontId="33" fillId="4" borderId="1" xfId="7" applyFont="1" applyFill="1" applyBorder="1" applyAlignment="1">
      <alignment horizontal="center" vertical="center" wrapText="1"/>
    </xf>
    <xf numFmtId="169" fontId="22" fillId="18" borderId="1" xfId="7" applyNumberFormat="1" applyFont="1" applyFill="1" applyBorder="1" applyAlignment="1">
      <alignment vertical="center"/>
    </xf>
    <xf numFmtId="169" fontId="22" fillId="18" borderId="1" xfId="0" applyNumberFormat="1" applyFont="1" applyFill="1" applyBorder="1" applyAlignment="1">
      <alignment vertical="center"/>
    </xf>
    <xf numFmtId="0" fontId="7" fillId="4" borderId="1" xfId="0" applyFont="1" applyFill="1" applyBorder="1" applyAlignment="1">
      <alignment horizontal="center"/>
    </xf>
    <xf numFmtId="0" fontId="0" fillId="4" borderId="1" xfId="0" applyFont="1" applyFill="1" applyBorder="1" applyAlignment="1">
      <alignment horizontal="center"/>
    </xf>
    <xf numFmtId="0" fontId="27" fillId="4" borderId="1" xfId="0" applyFont="1" applyFill="1" applyBorder="1" applyAlignment="1">
      <alignment horizontal="justify" vertical="top" wrapText="1"/>
    </xf>
    <xf numFmtId="169" fontId="24" fillId="4" borderId="1" xfId="0" applyNumberFormat="1" applyFont="1" applyFill="1" applyBorder="1" applyAlignment="1">
      <alignment horizontal="center" vertical="center" wrapText="1"/>
    </xf>
    <xf numFmtId="3" fontId="7" fillId="7" borderId="1" xfId="0" applyNumberFormat="1" applyFont="1" applyFill="1" applyBorder="1" applyAlignment="1">
      <alignment vertical="top" wrapText="1"/>
    </xf>
    <xf numFmtId="0" fontId="10" fillId="2" borderId="1" xfId="0" applyFont="1" applyFill="1" applyBorder="1" applyAlignment="1">
      <alignment horizontal="center" vertical="center" wrapText="1"/>
    </xf>
    <xf numFmtId="1" fontId="7" fillId="12" borderId="1" xfId="0" applyNumberFormat="1" applyFont="1" applyFill="1" applyBorder="1" applyAlignment="1">
      <alignment horizontal="center" vertical="top"/>
    </xf>
    <xf numFmtId="9" fontId="7" fillId="8" borderId="1" xfId="0" applyNumberFormat="1" applyFont="1" applyFill="1" applyBorder="1" applyAlignment="1">
      <alignment horizontal="center" vertical="center" wrapText="1"/>
    </xf>
    <xf numFmtId="2" fontId="7" fillId="18" borderId="1" xfId="7"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9" borderId="1" xfId="0" applyFont="1" applyFill="1" applyBorder="1" applyAlignment="1">
      <alignment horizontal="center" vertical="center" wrapText="1"/>
    </xf>
    <xf numFmtId="0" fontId="0" fillId="11" borderId="1" xfId="0" applyFont="1" applyFill="1" applyBorder="1" applyAlignment="1">
      <alignment horizontal="center" vertical="top" wrapText="1"/>
    </xf>
    <xf numFmtId="9" fontId="0" fillId="5" borderId="1" xfId="0" applyNumberFormat="1" applyFont="1" applyFill="1" applyBorder="1" applyAlignment="1">
      <alignment horizontal="center" vertical="top" wrapText="1"/>
    </xf>
    <xf numFmtId="0" fontId="26" fillId="2" borderId="1" xfId="0" applyFont="1" applyFill="1" applyBorder="1" applyAlignment="1">
      <alignment vertical="top" wrapText="1"/>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vertical="top"/>
    </xf>
    <xf numFmtId="1" fontId="0" fillId="0" borderId="1" xfId="0" applyNumberFormat="1" applyFont="1" applyBorder="1"/>
    <xf numFmtId="0" fontId="8"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167" fontId="0" fillId="0" borderId="1" xfId="0" applyNumberFormat="1" applyBorder="1"/>
    <xf numFmtId="0" fontId="0" fillId="0" borderId="1" xfId="0" applyBorder="1" applyAlignment="1">
      <alignment horizontal="justify" vertical="top"/>
    </xf>
    <xf numFmtId="0" fontId="0" fillId="0" borderId="1" xfId="0" applyBorder="1" applyAlignment="1">
      <alignment horizontal="justify" vertical="center"/>
    </xf>
    <xf numFmtId="1" fontId="0" fillId="0" borderId="1" xfId="0" applyNumberFormat="1" applyBorder="1" applyAlignment="1">
      <alignment horizontal="center" vertical="center"/>
    </xf>
    <xf numFmtId="1" fontId="37" fillId="0" borderId="1" xfId="0" applyNumberFormat="1" applyFont="1" applyBorder="1" applyAlignment="1">
      <alignment horizontal="center" vertical="center"/>
    </xf>
    <xf numFmtId="0" fontId="26" fillId="5" borderId="1" xfId="0" applyFont="1" applyFill="1" applyBorder="1" applyAlignment="1">
      <alignment horizontal="justify" vertical="center" wrapText="1"/>
    </xf>
    <xf numFmtId="169" fontId="7" fillId="5" borderId="1" xfId="7" applyNumberFormat="1" applyFont="1" applyFill="1" applyBorder="1" applyAlignment="1">
      <alignment horizontal="center" vertical="center"/>
    </xf>
    <xf numFmtId="9" fontId="7" fillId="19" borderId="1" xfId="7" applyFont="1" applyFill="1" applyBorder="1" applyAlignment="1">
      <alignment horizontal="center" vertical="center" wrapText="1"/>
    </xf>
    <xf numFmtId="9" fontId="22" fillId="18" borderId="1" xfId="0" applyNumberFormat="1" applyFont="1" applyFill="1" applyBorder="1" applyAlignment="1">
      <alignment horizontal="center" vertical="center"/>
    </xf>
    <xf numFmtId="0" fontId="26" fillId="4" borderId="1" xfId="0" applyFont="1" applyFill="1" applyBorder="1" applyAlignment="1">
      <alignment horizontal="center" vertical="top" wrapText="1"/>
    </xf>
    <xf numFmtId="9" fontId="38" fillId="18" borderId="1" xfId="7" applyFont="1" applyFill="1" applyBorder="1" applyAlignment="1">
      <alignment horizontal="center" vertical="center" wrapText="1"/>
    </xf>
    <xf numFmtId="0" fontId="24" fillId="2" borderId="1" xfId="0" applyFont="1" applyFill="1" applyBorder="1" applyAlignment="1">
      <alignment horizontal="center" vertical="center"/>
    </xf>
    <xf numFmtId="169" fontId="7" fillId="7" borderId="1" xfId="7" applyNumberFormat="1" applyFont="1" applyFill="1" applyBorder="1" applyAlignment="1">
      <alignment horizontal="center" vertical="top"/>
    </xf>
    <xf numFmtId="0" fontId="19" fillId="20" borderId="1" xfId="0" applyFont="1" applyFill="1" applyBorder="1" applyAlignment="1">
      <alignment horizontal="center" vertical="center" wrapText="1"/>
    </xf>
    <xf numFmtId="10" fontId="24" fillId="5" borderId="1" xfId="7" applyNumberFormat="1" applyFont="1" applyFill="1" applyBorder="1" applyAlignment="1">
      <alignment horizontal="center" vertical="center"/>
    </xf>
    <xf numFmtId="0" fontId="7" fillId="5" borderId="6" xfId="0" applyFont="1" applyFill="1" applyBorder="1" applyAlignment="1">
      <alignment horizontal="center" vertical="top"/>
    </xf>
    <xf numFmtId="9" fontId="7" fillId="5" borderId="6" xfId="7" applyFont="1" applyFill="1" applyBorder="1" applyAlignment="1">
      <alignment horizontal="center" vertical="top"/>
    </xf>
    <xf numFmtId="169" fontId="10" fillId="2" borderId="1" xfId="7" applyNumberFormat="1" applyFont="1" applyFill="1" applyBorder="1" applyAlignment="1">
      <alignment horizontal="center" vertical="center" wrapText="1"/>
    </xf>
    <xf numFmtId="9" fontId="39" fillId="18" borderId="1" xfId="7" applyFont="1" applyFill="1" applyBorder="1" applyAlignment="1">
      <alignment horizontal="center" vertical="top" wrapText="1"/>
    </xf>
    <xf numFmtId="9" fontId="38" fillId="18" borderId="1" xfId="0" applyNumberFormat="1" applyFont="1" applyFill="1" applyBorder="1" applyAlignment="1">
      <alignment horizontal="center" vertical="center"/>
    </xf>
    <xf numFmtId="9" fontId="22" fillId="18" borderId="1" xfId="7" applyFont="1" applyFill="1" applyBorder="1" applyAlignment="1">
      <alignment horizontal="center" vertical="top" wrapText="1"/>
    </xf>
    <xf numFmtId="0" fontId="26" fillId="2" borderId="1" xfId="0" applyFont="1" applyFill="1" applyBorder="1" applyAlignment="1">
      <alignment horizontal="center" vertical="top" wrapText="1"/>
    </xf>
    <xf numFmtId="9" fontId="7" fillId="5" borderId="1" xfId="7" applyFont="1" applyFill="1" applyBorder="1" applyAlignment="1">
      <alignment horizontal="center" vertical="center" wrapText="1"/>
    </xf>
    <xf numFmtId="9" fontId="22" fillId="18" borderId="2" xfId="0" applyNumberFormat="1" applyFont="1" applyFill="1" applyBorder="1" applyAlignment="1">
      <alignment horizontal="center" vertical="center"/>
    </xf>
    <xf numFmtId="9" fontId="22" fillId="18" borderId="1" xfId="7" applyFont="1" applyFill="1" applyBorder="1" applyAlignment="1">
      <alignment horizontal="center" vertical="center"/>
    </xf>
    <xf numFmtId="10" fontId="7" fillId="5" borderId="1" xfId="0" applyNumberFormat="1" applyFont="1" applyFill="1" applyBorder="1" applyAlignment="1">
      <alignment horizontal="center" vertical="top"/>
    </xf>
    <xf numFmtId="10" fontId="38" fillId="18" borderId="1" xfId="0" applyNumberFormat="1"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9" fontId="10" fillId="2" borderId="1" xfId="0" applyNumberFormat="1" applyFont="1" applyFill="1" applyBorder="1" applyAlignment="1">
      <alignment horizontal="center" vertical="center" wrapText="1"/>
    </xf>
    <xf numFmtId="9" fontId="10" fillId="2" borderId="1" xfId="7" applyFont="1" applyFill="1" applyBorder="1" applyAlignment="1">
      <alignment horizontal="center" vertical="center" wrapText="1"/>
    </xf>
    <xf numFmtId="0" fontId="7" fillId="9" borderId="1" xfId="0" applyFont="1" applyFill="1" applyBorder="1" applyAlignment="1">
      <alignment horizontal="justify" vertical="center"/>
    </xf>
    <xf numFmtId="0" fontId="7" fillId="10" borderId="1" xfId="0" applyFont="1" applyFill="1" applyBorder="1" applyAlignment="1">
      <alignment horizontal="justify" vertical="center"/>
    </xf>
    <xf numFmtId="9" fontId="7" fillId="2" borderId="1" xfId="0" applyNumberFormat="1" applyFont="1" applyFill="1" applyBorder="1" applyAlignment="1">
      <alignment horizontal="justify" vertical="center"/>
    </xf>
    <xf numFmtId="9" fontId="22" fillId="18" borderId="1" xfId="0" applyNumberFormat="1" applyFont="1" applyFill="1" applyBorder="1" applyAlignment="1">
      <alignment horizontal="center"/>
    </xf>
    <xf numFmtId="0" fontId="7" fillId="14" borderId="1" xfId="0" applyFont="1" applyFill="1" applyBorder="1" applyAlignment="1">
      <alignment horizontal="justify" vertical="center"/>
    </xf>
    <xf numFmtId="10" fontId="7" fillId="2" borderId="1" xfId="0" applyNumberFormat="1" applyFont="1" applyFill="1" applyBorder="1" applyAlignment="1">
      <alignment horizontal="center" vertical="center"/>
    </xf>
    <xf numFmtId="0" fontId="12" fillId="15" borderId="1" xfId="0" applyFont="1" applyFill="1" applyBorder="1" applyAlignment="1">
      <alignment horizontal="center" vertical="center"/>
    </xf>
    <xf numFmtId="0" fontId="35" fillId="0" borderId="1" xfId="0" applyFont="1" applyFill="1" applyBorder="1" applyAlignment="1">
      <alignment horizontal="center" vertical="center" wrapText="1"/>
    </xf>
    <xf numFmtId="9" fontId="24" fillId="5" borderId="1" xfId="7" applyFont="1" applyFill="1" applyBorder="1" applyAlignment="1">
      <alignment horizontal="center" vertical="center"/>
    </xf>
    <xf numFmtId="0" fontId="0" fillId="11" borderId="1" xfId="0" applyFont="1" applyFill="1" applyBorder="1" applyAlignment="1">
      <alignment horizontal="center" vertical="center" wrapText="1"/>
    </xf>
    <xf numFmtId="169" fontId="40" fillId="4" borderId="1" xfId="7" applyNumberFormat="1" applyFont="1" applyFill="1" applyBorder="1" applyAlignment="1">
      <alignment horizontal="center" vertical="center"/>
    </xf>
    <xf numFmtId="165" fontId="36" fillId="0" borderId="1" xfId="0" applyNumberFormat="1" applyFont="1" applyFill="1" applyBorder="1" applyAlignment="1">
      <alignment vertical="center" wrapText="1"/>
    </xf>
    <xf numFmtId="10" fontId="40" fillId="4" borderId="1" xfId="7" applyNumberFormat="1" applyFont="1" applyFill="1" applyBorder="1" applyAlignment="1">
      <alignment horizontal="center" vertical="center"/>
    </xf>
    <xf numFmtId="0" fontId="22" fillId="18" borderId="1" xfId="0" applyFont="1" applyFill="1" applyBorder="1" applyAlignment="1">
      <alignment horizontal="center" vertical="center"/>
    </xf>
    <xf numFmtId="0" fontId="7" fillId="9"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6" fillId="2" borderId="1" xfId="0" applyFont="1" applyFill="1" applyBorder="1" applyAlignment="1">
      <alignment horizontal="center" vertical="top" wrapText="1"/>
    </xf>
    <xf numFmtId="9" fontId="7" fillId="4" borderId="1" xfId="7" applyFont="1" applyFill="1" applyBorder="1" applyAlignment="1">
      <alignment horizontal="center" vertical="center" wrapText="1"/>
    </xf>
    <xf numFmtId="9" fontId="7" fillId="2" borderId="1" xfId="7" applyFont="1" applyFill="1" applyBorder="1" applyAlignment="1">
      <alignment horizontal="center" vertical="center" wrapText="1"/>
    </xf>
    <xf numFmtId="169" fontId="7" fillId="2" borderId="1" xfId="7" applyNumberFormat="1" applyFont="1" applyFill="1" applyBorder="1" applyAlignment="1">
      <alignment horizontal="center" vertical="center" wrapText="1"/>
    </xf>
    <xf numFmtId="169" fontId="7" fillId="4" borderId="1" xfId="7"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9" fontId="7" fillId="13" borderId="1" xfId="0" applyNumberFormat="1" applyFont="1" applyFill="1" applyBorder="1" applyAlignment="1">
      <alignment horizontal="center" vertical="center" wrapText="1"/>
    </xf>
    <xf numFmtId="10" fontId="7" fillId="13"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7" fillId="5" borderId="1" xfId="0" applyFont="1" applyFill="1" applyBorder="1" applyAlignment="1">
      <alignment horizontal="center" vertical="center"/>
    </xf>
    <xf numFmtId="10" fontId="24" fillId="5" borderId="1" xfId="7" applyNumberFormat="1" applyFont="1" applyFill="1" applyBorder="1" applyAlignment="1">
      <alignment horizontal="center" vertical="center"/>
    </xf>
    <xf numFmtId="0" fontId="7" fillId="8" borderId="1" xfId="0" applyFont="1" applyFill="1" applyBorder="1" applyAlignment="1">
      <alignment horizontal="center" vertical="top" wrapText="1"/>
    </xf>
    <xf numFmtId="0" fontId="7"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0" fontId="23" fillId="18"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9" fontId="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69" fontId="7" fillId="12" borderId="1" xfId="7" applyNumberFormat="1" applyFont="1" applyFill="1" applyBorder="1" applyAlignment="1">
      <alignment horizontal="center" vertical="center" wrapText="1"/>
    </xf>
    <xf numFmtId="10" fontId="10" fillId="2" borderId="1" xfId="7" applyNumberFormat="1" applyFont="1" applyFill="1" applyBorder="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9" fontId="24"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10" fontId="24" fillId="2" borderId="1" xfId="7"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27" fillId="5"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xf>
    <xf numFmtId="9" fontId="7" fillId="5" borderId="1" xfId="7" applyFont="1" applyFill="1" applyBorder="1" applyAlignment="1">
      <alignment horizontal="center" vertical="center"/>
    </xf>
    <xf numFmtId="169" fontId="10" fillId="2" borderId="1" xfId="7" applyNumberFormat="1" applyFont="1" applyFill="1" applyBorder="1" applyAlignment="1">
      <alignment horizontal="center" vertical="center" wrapText="1"/>
    </xf>
    <xf numFmtId="167" fontId="7" fillId="19" borderId="1" xfId="0" applyNumberFormat="1" applyFont="1" applyFill="1" applyBorder="1" applyAlignment="1">
      <alignment horizontal="center" vertical="center" wrapText="1"/>
    </xf>
    <xf numFmtId="9" fontId="7" fillId="19" borderId="1" xfId="7" applyFont="1" applyFill="1" applyBorder="1" applyAlignment="1">
      <alignment horizontal="center" vertical="center" wrapText="1"/>
    </xf>
    <xf numFmtId="0" fontId="26" fillId="4" borderId="1" xfId="0" applyFont="1" applyFill="1" applyBorder="1" applyAlignment="1">
      <alignment horizontal="center" vertical="top" wrapText="1"/>
    </xf>
    <xf numFmtId="9" fontId="7" fillId="4" borderId="1" xfId="0" applyNumberFormat="1" applyFont="1" applyFill="1" applyBorder="1" applyAlignment="1">
      <alignment horizontal="center" vertical="center" wrapText="1"/>
    </xf>
    <xf numFmtId="0" fontId="0" fillId="11" borderId="1" xfId="0" applyFont="1" applyFill="1" applyBorder="1" applyAlignment="1">
      <alignment horizontal="justify" vertical="top"/>
    </xf>
    <xf numFmtId="0" fontId="0" fillId="2" borderId="1" xfId="0" applyFont="1" applyFill="1" applyBorder="1" applyAlignment="1">
      <alignment horizontal="justify" vertical="top" wrapText="1"/>
    </xf>
    <xf numFmtId="9" fontId="0" fillId="2" borderId="1" xfId="0" applyNumberFormat="1" applyFont="1" applyFill="1" applyBorder="1" applyAlignment="1">
      <alignment horizontal="center" vertical="top" wrapText="1"/>
    </xf>
    <xf numFmtId="0" fontId="0" fillId="10"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1" fontId="7" fillId="5" borderId="1" xfId="0" applyNumberFormat="1" applyFont="1" applyFill="1" applyBorder="1" applyAlignment="1">
      <alignment horizontal="justify" vertical="center"/>
    </xf>
    <xf numFmtId="0" fontId="0" fillId="10" borderId="1" xfId="0" applyFont="1" applyFill="1" applyBorder="1" applyAlignment="1">
      <alignment horizontal="center" vertical="center"/>
    </xf>
    <xf numFmtId="9" fontId="7" fillId="5" borderId="1" xfId="7" applyFont="1" applyFill="1" applyBorder="1" applyAlignment="1">
      <alignment horizontal="center" vertical="center" wrapText="1"/>
    </xf>
    <xf numFmtId="9" fontId="7" fillId="10" borderId="1" xfId="7" applyFont="1" applyFill="1" applyBorder="1" applyAlignment="1">
      <alignment horizontal="center" vertical="center" wrapText="1"/>
    </xf>
    <xf numFmtId="0" fontId="0" fillId="10" borderId="1" xfId="0" applyFont="1" applyFill="1" applyBorder="1" applyAlignment="1">
      <alignment horizontal="justify" vertical="top"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10" fontId="7" fillId="9" borderId="1" xfId="0" applyNumberFormat="1" applyFont="1" applyFill="1" applyBorder="1" applyAlignment="1">
      <alignment horizontal="center" vertical="center"/>
    </xf>
    <xf numFmtId="1" fontId="0" fillId="11" borderId="1" xfId="0" applyNumberFormat="1" applyFont="1" applyFill="1" applyBorder="1" applyAlignment="1">
      <alignment horizontal="center" vertical="top"/>
    </xf>
    <xf numFmtId="0" fontId="0" fillId="10" borderId="1" xfId="0" applyFont="1" applyFill="1" applyBorder="1" applyAlignment="1">
      <alignment horizontal="center" vertical="top" wrapText="1"/>
    </xf>
    <xf numFmtId="0" fontId="30" fillId="10" borderId="1" xfId="0" applyFont="1" applyFill="1" applyBorder="1" applyAlignment="1">
      <alignment horizontal="justify" vertical="top" wrapText="1"/>
    </xf>
    <xf numFmtId="1" fontId="0" fillId="10" borderId="1" xfId="0" applyNumberFormat="1" applyFont="1" applyFill="1" applyBorder="1" applyAlignment="1">
      <alignment horizontal="center" vertical="center"/>
    </xf>
    <xf numFmtId="9" fontId="7" fillId="9"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10" fontId="7" fillId="7" borderId="1" xfId="7" applyNumberFormat="1" applyFont="1" applyFill="1" applyBorder="1" applyAlignment="1">
      <alignment horizontal="center" vertical="center" wrapText="1"/>
    </xf>
    <xf numFmtId="9" fontId="7" fillId="7" borderId="1" xfId="7" applyFont="1" applyFill="1" applyBorder="1" applyAlignment="1">
      <alignment horizontal="center" vertical="center" wrapText="1"/>
    </xf>
    <xf numFmtId="0" fontId="34" fillId="18" borderId="1" xfId="0" applyFont="1" applyFill="1" applyBorder="1" applyAlignment="1">
      <alignment horizontal="center" vertical="center"/>
    </xf>
    <xf numFmtId="0" fontId="16" fillId="4" borderId="1" xfId="0" applyFont="1" applyFill="1" applyBorder="1" applyAlignment="1">
      <alignment horizontal="center" vertical="center" textRotation="90"/>
    </xf>
    <xf numFmtId="0" fontId="39" fillId="18" borderId="9" xfId="0" applyFont="1" applyFill="1" applyBorder="1" applyAlignment="1">
      <alignment horizontal="center" vertical="top" wrapText="1"/>
    </xf>
    <xf numFmtId="0" fontId="39" fillId="18" borderId="10" xfId="0" applyFont="1" applyFill="1" applyBorder="1" applyAlignment="1">
      <alignment horizontal="center" vertical="top" wrapText="1"/>
    </xf>
    <xf numFmtId="0" fontId="39" fillId="18" borderId="7" xfId="0" applyFont="1" applyFill="1" applyBorder="1" applyAlignment="1">
      <alignment horizontal="center" vertical="top" wrapText="1"/>
    </xf>
    <xf numFmtId="0" fontId="0" fillId="7" borderId="1" xfId="0" applyFont="1" applyFill="1" applyBorder="1" applyAlignment="1">
      <alignment horizontal="justify" vertical="center"/>
    </xf>
    <xf numFmtId="1" fontId="0" fillId="7" borderId="1" xfId="0" applyNumberFormat="1" applyFont="1" applyFill="1" applyBorder="1" applyAlignment="1">
      <alignment horizontal="justify" vertical="center"/>
    </xf>
    <xf numFmtId="0" fontId="0" fillId="7" borderId="1" xfId="0" applyFont="1" applyFill="1" applyBorder="1" applyAlignment="1">
      <alignment horizontal="center" vertical="center" wrapText="1"/>
    </xf>
    <xf numFmtId="0" fontId="0" fillId="7" borderId="1" xfId="0" applyFont="1" applyFill="1" applyBorder="1" applyAlignment="1">
      <alignment horizontal="justify" vertical="center" wrapText="1"/>
    </xf>
    <xf numFmtId="0" fontId="27" fillId="7" borderId="1" xfId="0" applyFont="1" applyFill="1" applyBorder="1" applyAlignment="1">
      <alignment horizontal="center" vertical="center" wrapText="1"/>
    </xf>
    <xf numFmtId="0" fontId="7" fillId="6" borderId="1" xfId="0" applyFont="1" applyFill="1" applyBorder="1" applyAlignment="1">
      <alignment horizontal="justify" vertical="top"/>
    </xf>
    <xf numFmtId="1" fontId="7" fillId="6" borderId="1" xfId="0" applyNumberFormat="1" applyFont="1" applyFill="1" applyBorder="1" applyAlignment="1">
      <alignment horizontal="justify" vertical="top"/>
    </xf>
    <xf numFmtId="0" fontId="7" fillId="6" borderId="1" xfId="0" applyFont="1" applyFill="1" applyBorder="1" applyAlignment="1">
      <alignment horizontal="justify" vertical="top" wrapText="1"/>
    </xf>
    <xf numFmtId="0" fontId="7" fillId="6" borderId="1" xfId="0" applyFont="1" applyFill="1" applyBorder="1" applyAlignment="1">
      <alignment horizontal="center" vertical="top" wrapText="1"/>
    </xf>
    <xf numFmtId="0" fontId="26" fillId="19" borderId="1" xfId="0" applyFont="1" applyFill="1" applyBorder="1" applyAlignment="1">
      <alignment horizontal="justify" vertical="center" wrapText="1"/>
    </xf>
    <xf numFmtId="0" fontId="7" fillId="19" borderId="1" xfId="0" applyFont="1" applyFill="1" applyBorder="1" applyAlignment="1">
      <alignment horizontal="justify" vertical="center" wrapText="1"/>
    </xf>
    <xf numFmtId="0" fontId="7" fillId="4" borderId="1" xfId="0" applyFont="1" applyFill="1" applyBorder="1" applyAlignment="1">
      <alignment horizontal="center" vertical="top" wrapText="1"/>
    </xf>
    <xf numFmtId="9" fontId="7" fillId="4" borderId="1" xfId="0" applyNumberFormat="1" applyFont="1" applyFill="1" applyBorder="1" applyAlignment="1">
      <alignment horizontal="center" vertical="top" wrapText="1"/>
    </xf>
    <xf numFmtId="0" fontId="7" fillId="7" borderId="1" xfId="0" applyFont="1" applyFill="1" applyBorder="1" applyAlignment="1">
      <alignment horizontal="center" vertical="center"/>
    </xf>
    <xf numFmtId="0" fontId="15" fillId="0" borderId="11" xfId="0" applyFont="1" applyBorder="1" applyAlignment="1">
      <alignment vertical="center" wrapText="1"/>
    </xf>
    <xf numFmtId="0" fontId="7" fillId="5" borderId="1" xfId="0" applyFont="1" applyFill="1" applyBorder="1" applyAlignment="1">
      <alignment horizontal="justify" vertical="center"/>
    </xf>
    <xf numFmtId="1" fontId="7" fillId="5" borderId="1" xfId="0" applyNumberFormat="1" applyFont="1" applyFill="1" applyBorder="1" applyAlignment="1">
      <alignment horizontal="center" vertical="center"/>
    </xf>
    <xf numFmtId="9" fontId="7" fillId="5" borderId="1" xfId="0" applyNumberFormat="1" applyFont="1" applyFill="1" applyBorder="1" applyAlignment="1">
      <alignment horizontal="center" vertical="center" wrapText="1"/>
    </xf>
    <xf numFmtId="0" fontId="26" fillId="5" borderId="1" xfId="0" applyFont="1" applyFill="1" applyBorder="1" applyAlignment="1">
      <alignment horizontal="justify" vertical="center" wrapText="1"/>
    </xf>
    <xf numFmtId="3" fontId="7" fillId="5"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top"/>
    </xf>
    <xf numFmtId="0" fontId="7" fillId="12" borderId="1" xfId="0" applyFont="1" applyFill="1" applyBorder="1" applyAlignment="1">
      <alignment horizontal="justify" vertical="top"/>
    </xf>
    <xf numFmtId="9" fontId="7" fillId="7" borderId="1" xfId="0" applyNumberFormat="1" applyFont="1" applyFill="1" applyBorder="1" applyAlignment="1">
      <alignment horizontal="center" vertical="center"/>
    </xf>
    <xf numFmtId="169" fontId="7" fillId="5" borderId="1" xfId="7"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2" fillId="18" borderId="9" xfId="0" applyFont="1" applyFill="1" applyBorder="1" applyAlignment="1">
      <alignment horizontal="center" vertical="center"/>
    </xf>
    <xf numFmtId="0" fontId="22" fillId="18" borderId="10" xfId="0" applyFont="1" applyFill="1" applyBorder="1" applyAlignment="1">
      <alignment horizontal="center" vertical="center"/>
    </xf>
    <xf numFmtId="0" fontId="22" fillId="18" borderId="7" xfId="0" applyFont="1" applyFill="1" applyBorder="1" applyAlignment="1">
      <alignment horizontal="center" vertical="center"/>
    </xf>
    <xf numFmtId="0" fontId="38" fillId="18" borderId="9" xfId="0" applyFont="1" applyFill="1" applyBorder="1" applyAlignment="1">
      <alignment horizontal="center" vertical="center"/>
    </xf>
    <xf numFmtId="0" fontId="38" fillId="18" borderId="10" xfId="0" applyFont="1" applyFill="1" applyBorder="1" applyAlignment="1">
      <alignment horizontal="center" vertical="center"/>
    </xf>
    <xf numFmtId="0" fontId="38" fillId="18" borderId="7"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1" fontId="7" fillId="4" borderId="6" xfId="0" applyNumberFormat="1" applyFont="1" applyFill="1" applyBorder="1" applyAlignment="1">
      <alignment horizontal="center" vertical="center"/>
    </xf>
    <xf numFmtId="1" fontId="7" fillId="4" borderId="8"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0" fontId="7" fillId="4" borderId="6" xfId="0" applyFont="1" applyFill="1" applyBorder="1" applyAlignment="1">
      <alignment horizontal="center" vertical="top" wrapText="1"/>
    </xf>
    <xf numFmtId="0" fontId="7" fillId="4" borderId="8" xfId="0" applyFont="1" applyFill="1" applyBorder="1" applyAlignment="1">
      <alignment horizontal="center" vertical="top" wrapText="1"/>
    </xf>
    <xf numFmtId="0" fontId="7" fillId="4" borderId="2" xfId="0" applyFont="1" applyFill="1" applyBorder="1" applyAlignment="1">
      <alignment horizontal="center" vertical="top" wrapText="1"/>
    </xf>
    <xf numFmtId="0" fontId="22" fillId="18" borderId="9"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2" xfId="0" applyFont="1" applyFill="1" applyBorder="1" applyAlignment="1">
      <alignment horizontal="center" vertical="center" wrapText="1"/>
    </xf>
    <xf numFmtId="1" fontId="7" fillId="5" borderId="6" xfId="0" applyNumberFormat="1" applyFont="1" applyFill="1" applyBorder="1" applyAlignment="1">
      <alignment horizontal="center" vertical="center"/>
    </xf>
    <xf numFmtId="1" fontId="7" fillId="5" borderId="8" xfId="0" applyNumberFormat="1" applyFont="1" applyFill="1" applyBorder="1" applyAlignment="1">
      <alignment horizontal="center" vertical="center"/>
    </xf>
    <xf numFmtId="1" fontId="7" fillId="5" borderId="2"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7" fillId="2" borderId="6" xfId="0" applyNumberFormat="1" applyFont="1" applyFill="1" applyBorder="1" applyAlignment="1">
      <alignment horizontal="center" vertical="top" wrapText="1"/>
    </xf>
    <xf numFmtId="1" fontId="7" fillId="2" borderId="8" xfId="0" applyNumberFormat="1" applyFont="1" applyFill="1" applyBorder="1" applyAlignment="1">
      <alignment horizontal="center" vertical="top" wrapText="1"/>
    </xf>
    <xf numFmtId="1" fontId="7" fillId="2" borderId="2" xfId="0" applyNumberFormat="1"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2" xfId="0" applyFont="1" applyFill="1" applyBorder="1" applyAlignment="1">
      <alignment horizontal="center" vertical="top" wrapText="1"/>
    </xf>
    <xf numFmtId="0" fontId="0" fillId="13" borderId="1" xfId="0" applyFont="1" applyFill="1" applyBorder="1" applyAlignment="1">
      <alignment horizontal="justify" vertical="top"/>
    </xf>
    <xf numFmtId="1" fontId="0" fillId="13" borderId="1" xfId="0" applyNumberFormat="1" applyFont="1" applyFill="1" applyBorder="1" applyAlignment="1">
      <alignment horizontal="justify" vertical="top"/>
    </xf>
    <xf numFmtId="0" fontId="7" fillId="12" borderId="6"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2" xfId="0" applyFont="1" applyFill="1" applyBorder="1" applyAlignment="1">
      <alignment horizontal="center" vertical="center" wrapText="1"/>
    </xf>
    <xf numFmtId="1" fontId="22" fillId="18" borderId="9" xfId="0" applyNumberFormat="1" applyFont="1" applyFill="1" applyBorder="1" applyAlignment="1">
      <alignment horizontal="center" vertical="center"/>
    </xf>
    <xf numFmtId="1" fontId="22" fillId="18" borderId="10" xfId="0" applyNumberFormat="1" applyFont="1" applyFill="1" applyBorder="1" applyAlignment="1">
      <alignment horizontal="center" vertical="center"/>
    </xf>
    <xf numFmtId="1" fontId="22" fillId="18" borderId="7" xfId="0" applyNumberFormat="1" applyFont="1" applyFill="1" applyBorder="1" applyAlignment="1">
      <alignment horizontal="center" vertical="center"/>
    </xf>
    <xf numFmtId="1" fontId="7" fillId="4" borderId="6"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wrapText="1"/>
    </xf>
    <xf numFmtId="1" fontId="22" fillId="18" borderId="9" xfId="0" applyNumberFormat="1" applyFont="1" applyFill="1" applyBorder="1" applyAlignment="1">
      <alignment horizontal="center" vertical="center" wrapText="1"/>
    </xf>
    <xf numFmtId="1" fontId="22" fillId="18" borderId="10" xfId="0" applyNumberFormat="1" applyFont="1" applyFill="1" applyBorder="1" applyAlignment="1">
      <alignment horizontal="center" vertical="center" wrapText="1"/>
    </xf>
    <xf numFmtId="1" fontId="22" fillId="18" borderId="7"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 fontId="7" fillId="8" borderId="1" xfId="0" applyNumberFormat="1" applyFont="1" applyFill="1" applyBorder="1" applyAlignment="1">
      <alignment horizontal="center" vertical="center"/>
    </xf>
    <xf numFmtId="0" fontId="7" fillId="9"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2" xfId="0" applyFont="1" applyFill="1" applyBorder="1" applyAlignment="1">
      <alignment horizontal="center" vertical="center" wrapText="1"/>
    </xf>
    <xf numFmtId="1" fontId="7" fillId="9" borderId="6" xfId="0" applyNumberFormat="1" applyFont="1" applyFill="1" applyBorder="1" applyAlignment="1">
      <alignment horizontal="center" vertical="center"/>
    </xf>
    <xf numFmtId="1" fontId="7" fillId="9" borderId="2" xfId="0" applyNumberFormat="1" applyFont="1" applyFill="1" applyBorder="1" applyAlignment="1">
      <alignment horizontal="center" vertical="center"/>
    </xf>
    <xf numFmtId="1" fontId="7" fillId="9" borderId="6" xfId="0" applyNumberFormat="1" applyFont="1" applyFill="1" applyBorder="1" applyAlignment="1">
      <alignment horizontal="center" vertical="center" wrapText="1"/>
    </xf>
    <xf numFmtId="1" fontId="7" fillId="9" borderId="8" xfId="0" applyNumberFormat="1" applyFont="1" applyFill="1" applyBorder="1" applyAlignment="1">
      <alignment horizontal="center" vertical="center" wrapText="1"/>
    </xf>
    <xf numFmtId="1" fontId="7" fillId="9" borderId="2" xfId="0" applyNumberFormat="1" applyFont="1" applyFill="1" applyBorder="1" applyAlignment="1">
      <alignment horizontal="center" vertical="center" wrapText="1"/>
    </xf>
    <xf numFmtId="9" fontId="7" fillId="9" borderId="6" xfId="0" applyNumberFormat="1" applyFont="1" applyFill="1" applyBorder="1" applyAlignment="1">
      <alignment horizontal="center" vertical="center"/>
    </xf>
    <xf numFmtId="9" fontId="7" fillId="9" borderId="8" xfId="0" applyNumberFormat="1" applyFont="1" applyFill="1" applyBorder="1" applyAlignment="1">
      <alignment horizontal="center" vertical="center"/>
    </xf>
    <xf numFmtId="9" fontId="7" fillId="9" borderId="2" xfId="0" applyNumberFormat="1" applyFont="1" applyFill="1" applyBorder="1" applyAlignment="1">
      <alignment horizontal="center" vertical="center"/>
    </xf>
    <xf numFmtId="0" fontId="22" fillId="18" borderId="9" xfId="0" applyFont="1" applyFill="1" applyBorder="1" applyAlignment="1">
      <alignment horizontal="center" vertical="top" wrapText="1"/>
    </xf>
    <xf numFmtId="0" fontId="22" fillId="18" borderId="10" xfId="0" applyFont="1" applyFill="1" applyBorder="1" applyAlignment="1">
      <alignment horizontal="center" vertical="top" wrapText="1"/>
    </xf>
    <xf numFmtId="0" fontId="22" fillId="18" borderId="7" xfId="0" applyFont="1" applyFill="1" applyBorder="1" applyAlignment="1">
      <alignment horizontal="center" vertical="top" wrapText="1"/>
    </xf>
    <xf numFmtId="0" fontId="7" fillId="7" borderId="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2" xfId="0" applyFont="1" applyFill="1" applyBorder="1" applyAlignment="1">
      <alignment horizontal="center" vertical="center" wrapText="1"/>
    </xf>
    <xf numFmtId="1" fontId="7" fillId="7" borderId="6" xfId="0" applyNumberFormat="1" applyFont="1" applyFill="1" applyBorder="1" applyAlignment="1">
      <alignment horizontal="center" vertical="center" wrapText="1"/>
    </xf>
    <xf numFmtId="1" fontId="7" fillId="7" borderId="8" xfId="0" applyNumberFormat="1" applyFont="1" applyFill="1" applyBorder="1" applyAlignment="1">
      <alignment horizontal="center" vertical="center" wrapText="1"/>
    </xf>
    <xf numFmtId="1" fontId="7" fillId="7" borderId="2" xfId="0" applyNumberFormat="1" applyFont="1" applyFill="1" applyBorder="1" applyAlignment="1">
      <alignment horizontal="center" vertical="center" wrapText="1"/>
    </xf>
    <xf numFmtId="0" fontId="7" fillId="5" borderId="6" xfId="0" applyFont="1" applyFill="1" applyBorder="1" applyAlignment="1">
      <alignment horizontal="center" vertical="top"/>
    </xf>
    <xf numFmtId="0" fontId="7" fillId="5" borderId="8" xfId="0" applyFont="1" applyFill="1" applyBorder="1" applyAlignment="1">
      <alignment horizontal="center" vertical="top"/>
    </xf>
    <xf numFmtId="0" fontId="7" fillId="5" borderId="2" xfId="0" applyFont="1" applyFill="1" applyBorder="1" applyAlignment="1">
      <alignment horizontal="center" vertical="top"/>
    </xf>
    <xf numFmtId="9" fontId="7" fillId="5" borderId="6" xfId="0" applyNumberFormat="1" applyFont="1" applyFill="1" applyBorder="1" applyAlignment="1">
      <alignment horizontal="center" vertical="top"/>
    </xf>
    <xf numFmtId="9" fontId="7" fillId="5" borderId="8" xfId="0" applyNumberFormat="1" applyFont="1" applyFill="1" applyBorder="1" applyAlignment="1">
      <alignment horizontal="center" vertical="top"/>
    </xf>
    <xf numFmtId="9" fontId="7" fillId="5" borderId="2" xfId="0" applyNumberFormat="1" applyFont="1" applyFill="1" applyBorder="1" applyAlignment="1">
      <alignment horizontal="center" vertical="top"/>
    </xf>
    <xf numFmtId="1" fontId="7" fillId="5" borderId="6" xfId="2" applyNumberFormat="1" applyFont="1" applyFill="1" applyBorder="1" applyAlignment="1">
      <alignment horizontal="center" vertical="top"/>
    </xf>
    <xf numFmtId="1" fontId="7" fillId="5" borderId="8" xfId="2" applyNumberFormat="1" applyFont="1" applyFill="1" applyBorder="1" applyAlignment="1">
      <alignment horizontal="center" vertical="top"/>
    </xf>
    <xf numFmtId="1" fontId="7" fillId="5" borderId="2" xfId="2" applyNumberFormat="1" applyFont="1" applyFill="1" applyBorder="1" applyAlignment="1">
      <alignment horizontal="center" vertical="top"/>
    </xf>
    <xf numFmtId="0" fontId="0" fillId="11" borderId="6" xfId="0" applyFont="1" applyFill="1" applyBorder="1" applyAlignment="1">
      <alignment horizontal="center" vertical="top"/>
    </xf>
    <xf numFmtId="0" fontId="0" fillId="11" borderId="8" xfId="0" applyFont="1" applyFill="1" applyBorder="1" applyAlignment="1">
      <alignment horizontal="center" vertical="top"/>
    </xf>
    <xf numFmtId="0" fontId="0" fillId="11" borderId="2" xfId="0" applyFont="1" applyFill="1" applyBorder="1" applyAlignment="1">
      <alignment horizontal="center" vertical="top"/>
    </xf>
    <xf numFmtId="1" fontId="7" fillId="2" borderId="6" xfId="0" applyNumberFormat="1" applyFont="1" applyFill="1" applyBorder="1" applyAlignment="1">
      <alignment horizontal="center" vertical="center"/>
    </xf>
    <xf numFmtId="1" fontId="7" fillId="2" borderId="8" xfId="0" applyNumberFormat="1" applyFont="1" applyFill="1" applyBorder="1" applyAlignment="1">
      <alignment horizontal="center" vertical="center"/>
    </xf>
    <xf numFmtId="1" fontId="7" fillId="2" borderId="2" xfId="0" applyNumberFormat="1" applyFont="1" applyFill="1" applyBorder="1" applyAlignment="1">
      <alignment horizontal="center" vertical="center"/>
    </xf>
    <xf numFmtId="1" fontId="22" fillId="18" borderId="9" xfId="0" applyNumberFormat="1" applyFont="1" applyFill="1" applyBorder="1" applyAlignment="1">
      <alignment horizontal="center" wrapText="1"/>
    </xf>
    <xf numFmtId="1" fontId="22" fillId="18" borderId="10" xfId="0" applyNumberFormat="1" applyFont="1" applyFill="1" applyBorder="1" applyAlignment="1">
      <alignment horizontal="center" wrapText="1"/>
    </xf>
    <xf numFmtId="1" fontId="22" fillId="18" borderId="7" xfId="0" applyNumberFormat="1" applyFont="1" applyFill="1" applyBorder="1" applyAlignment="1">
      <alignment horizontal="center" wrapText="1"/>
    </xf>
    <xf numFmtId="1" fontId="7" fillId="9" borderId="6" xfId="0" applyNumberFormat="1" applyFont="1" applyFill="1" applyBorder="1" applyAlignment="1">
      <alignment horizontal="center" vertical="top"/>
    </xf>
    <xf numFmtId="1" fontId="7" fillId="9" borderId="8" xfId="0" applyNumberFormat="1" applyFont="1" applyFill="1" applyBorder="1" applyAlignment="1">
      <alignment horizontal="center" vertical="top"/>
    </xf>
    <xf numFmtId="1" fontId="7" fillId="9" borderId="2" xfId="0" applyNumberFormat="1" applyFont="1" applyFill="1" applyBorder="1" applyAlignment="1">
      <alignment horizontal="center" vertical="top"/>
    </xf>
    <xf numFmtId="1" fontId="7" fillId="9" borderId="6" xfId="0" applyNumberFormat="1" applyFont="1" applyFill="1" applyBorder="1" applyAlignment="1">
      <alignment horizontal="center" vertical="top" wrapText="1"/>
    </xf>
    <xf numFmtId="1" fontId="7" fillId="9" borderId="8" xfId="0" applyNumberFormat="1" applyFont="1" applyFill="1" applyBorder="1" applyAlignment="1">
      <alignment horizontal="center" vertical="top" wrapText="1"/>
    </xf>
    <xf numFmtId="1" fontId="7" fillId="9" borderId="2" xfId="0" applyNumberFormat="1" applyFont="1" applyFill="1" applyBorder="1" applyAlignment="1">
      <alignment horizontal="center" vertical="top" wrapText="1"/>
    </xf>
    <xf numFmtId="0" fontId="7" fillId="9" borderId="6" xfId="0" applyFont="1" applyFill="1" applyBorder="1" applyAlignment="1">
      <alignment horizontal="center" vertical="top" wrapText="1"/>
    </xf>
    <xf numFmtId="0" fontId="7" fillId="9" borderId="8" xfId="0" applyFont="1" applyFill="1" applyBorder="1" applyAlignment="1">
      <alignment horizontal="center" vertical="top" wrapText="1"/>
    </xf>
    <xf numFmtId="0" fontId="7" fillId="9" borderId="2" xfId="0" applyFont="1" applyFill="1" applyBorder="1" applyAlignment="1">
      <alignment horizontal="center" vertical="top" wrapText="1"/>
    </xf>
    <xf numFmtId="0" fontId="7" fillId="9" borderId="6"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2" xfId="0" applyFont="1" applyFill="1" applyBorder="1" applyAlignment="1">
      <alignment horizontal="center" vertical="center"/>
    </xf>
    <xf numFmtId="9" fontId="7" fillId="9" borderId="6" xfId="7" applyFont="1" applyFill="1" applyBorder="1" applyAlignment="1">
      <alignment horizontal="center" vertical="center"/>
    </xf>
    <xf numFmtId="9" fontId="7" fillId="9" borderId="8" xfId="7" applyFont="1" applyFill="1" applyBorder="1" applyAlignment="1">
      <alignment horizontal="center" vertical="center"/>
    </xf>
    <xf numFmtId="9" fontId="7" fillId="9" borderId="2" xfId="7" applyFont="1" applyFill="1" applyBorder="1" applyAlignment="1">
      <alignment horizontal="center" vertical="center"/>
    </xf>
    <xf numFmtId="165" fontId="38" fillId="3" borderId="6" xfId="4" applyNumberFormat="1" applyFont="1" applyFill="1" applyBorder="1" applyAlignment="1">
      <alignment horizontal="center" vertical="center" wrapText="1"/>
    </xf>
    <xf numFmtId="165" fontId="38" fillId="3" borderId="8" xfId="4" applyNumberFormat="1" applyFont="1" applyFill="1" applyBorder="1" applyAlignment="1">
      <alignment horizontal="center" vertical="center" wrapText="1"/>
    </xf>
    <xf numFmtId="165" fontId="38" fillId="3" borderId="2" xfId="4" applyNumberFormat="1" applyFont="1" applyFill="1" applyBorder="1" applyAlignment="1">
      <alignment horizontal="center" vertical="center" wrapText="1"/>
    </xf>
    <xf numFmtId="169" fontId="38" fillId="3" borderId="6" xfId="7" applyNumberFormat="1" applyFont="1" applyFill="1" applyBorder="1" applyAlignment="1">
      <alignment horizontal="center" vertical="center"/>
    </xf>
    <xf numFmtId="169" fontId="38" fillId="3" borderId="8" xfId="7" applyNumberFormat="1" applyFont="1" applyFill="1" applyBorder="1" applyAlignment="1">
      <alignment horizontal="center" vertical="center"/>
    </xf>
    <xf numFmtId="169" fontId="38" fillId="3" borderId="2" xfId="7" applyNumberFormat="1" applyFont="1" applyFill="1" applyBorder="1" applyAlignment="1">
      <alignment horizontal="center" vertical="center"/>
    </xf>
    <xf numFmtId="165" fontId="38" fillId="3" borderId="6" xfId="4" applyFont="1" applyFill="1" applyBorder="1" applyAlignment="1">
      <alignment horizontal="center" vertical="center" wrapText="1"/>
    </xf>
    <xf numFmtId="165" fontId="38" fillId="3" borderId="8" xfId="4" applyFont="1" applyFill="1" applyBorder="1" applyAlignment="1">
      <alignment horizontal="center" vertical="center" wrapText="1"/>
    </xf>
    <xf numFmtId="165" fontId="38" fillId="3" borderId="2" xfId="4" applyFont="1" applyFill="1" applyBorder="1" applyAlignment="1">
      <alignment horizontal="center" vertical="center" wrapText="1"/>
    </xf>
    <xf numFmtId="169" fontId="38" fillId="3" borderId="6" xfId="7" applyNumberFormat="1" applyFont="1" applyFill="1" applyBorder="1" applyAlignment="1">
      <alignment horizontal="center" vertical="center" wrapText="1"/>
    </xf>
    <xf numFmtId="169" fontId="38" fillId="3" borderId="8" xfId="7" applyNumberFormat="1" applyFont="1" applyFill="1" applyBorder="1" applyAlignment="1">
      <alignment horizontal="center" vertical="center" wrapText="1"/>
    </xf>
    <xf numFmtId="169" fontId="38" fillId="3" borderId="2" xfId="7" applyNumberFormat="1" applyFont="1" applyFill="1" applyBorder="1" applyAlignment="1">
      <alignment horizontal="center" vertical="center" wrapText="1"/>
    </xf>
    <xf numFmtId="169" fontId="38" fillId="3" borderId="6" xfId="0" applyNumberFormat="1" applyFont="1" applyFill="1" applyBorder="1" applyAlignment="1">
      <alignment horizontal="center" vertical="center" wrapText="1"/>
    </xf>
    <xf numFmtId="169" fontId="38" fillId="3" borderId="8" xfId="0" applyNumberFormat="1" applyFont="1" applyFill="1" applyBorder="1" applyAlignment="1">
      <alignment horizontal="center" vertical="center" wrapText="1"/>
    </xf>
    <xf numFmtId="169" fontId="38" fillId="3" borderId="2" xfId="0" applyNumberFormat="1"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2" xfId="0" applyFont="1" applyFill="1" applyBorder="1" applyAlignment="1">
      <alignment horizontal="center" vertical="center" wrapText="1"/>
    </xf>
    <xf numFmtId="1" fontId="7" fillId="14" borderId="6" xfId="0" applyNumberFormat="1" applyFont="1" applyFill="1" applyBorder="1" applyAlignment="1">
      <alignment horizontal="center" vertical="center"/>
    </xf>
    <xf numFmtId="1" fontId="7" fillId="14" borderId="8" xfId="0" applyNumberFormat="1" applyFont="1" applyFill="1" applyBorder="1" applyAlignment="1">
      <alignment horizontal="center" vertical="center"/>
    </xf>
    <xf numFmtId="1" fontId="7" fillId="14" borderId="2" xfId="0" applyNumberFormat="1" applyFont="1" applyFill="1" applyBorder="1" applyAlignment="1">
      <alignment horizontal="center" vertical="center"/>
    </xf>
  </cellXfs>
  <cellStyles count="8">
    <cellStyle name="Hipervínculo" xfId="1" builtinId="8"/>
    <cellStyle name="Millares" xfId="2" builtinId="3"/>
    <cellStyle name="Millares [0]" xfId="3" builtinId="6"/>
    <cellStyle name="Moneda" xfId="4" builtinId="4"/>
    <cellStyle name="Normal" xfId="0" builtinId="0"/>
    <cellStyle name="Normal 2" xfId="5" xr:uid="{00000000-0005-0000-0000-000005000000}"/>
    <cellStyle name="Normal 2 2"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ESAR\Archivos%20Rec\Seguiplan%202016\SEGUIMIENTO\PLAN%20INDICATIVO\Anexo-1%20Plan-Indicativo%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refreshError="1"/>
      <sheetData sheetId="2">
        <row r="4">
          <cell r="C4" t="str">
            <v>1. Aumentar la cobertura de afiliación al Régimen Subsidiado en Salud en el área urbano del Distrito de Cartagena de Indias para alcanzar lo universalización  100%</v>
          </cell>
        </row>
        <row r="5">
          <cell r="C5" t="str">
            <v>2. Mejorar la oportunidad en la atención por consulta externa medica de mediano y alta complejidad a 10 Días.</v>
          </cell>
        </row>
        <row r="6">
          <cell r="C6" t="str">
            <v>3. Mantener lo oportunidad en lo atención por consulta externa de baja complejidad en 2 Días</v>
          </cell>
        </row>
        <row r="7">
          <cell r="C7" t="str">
            <v>4. Lograr que el 65% de la población se encuentren satisfecho con la calidad de los servicios de atención en salud</v>
          </cell>
        </row>
        <row r="8">
          <cell r="C8" t="str">
            <v xml:space="preserve">5. Aumentar o 60% de los prestadores de servicios de salud que mantengan de forma permanente los condiciones de habilitación, controlen el riesgo asociado a la prestación de los servicios de salud, brinden seguridad a sus usuarios y mejoren continuamente </v>
          </cell>
        </row>
        <row r="9">
          <cell r="C9" t="str">
            <v>6. Lograr que el 90% de establecimientos farmacéuticos alcancen concepto favorable al cumplimiento de las condiciones sanitarias establecidas en la normatividad</v>
          </cell>
        </row>
        <row r="10">
          <cell r="C10" t="str">
            <v>7. Mantener el 100% de cobertura en generación de estadísticas vitales por medio de la WEB.</v>
          </cell>
        </row>
        <row r="11">
          <cell r="C11" t="str">
            <v>8. Intervenir oportunamente el 100% de los eventos de interés en salud pública notificados según lineamientos nacionales</v>
          </cell>
        </row>
        <row r="12">
          <cell r="C12" t="str">
            <v>9. Lograr que el 100% de las aseguradoras del Distrito de Cartagena tengan implementado modelo de atención en salud basado en la estrategia de Atención Primaria en salud</v>
          </cell>
        </row>
        <row r="13">
          <cell r="C13" t="str">
            <v>10. Lograr que el 100% de las aseguradoras del Distrito de Cartagena tengan la programación de actividades preventivas en salud (acciones de protección específica y detección temprana).</v>
          </cell>
        </row>
        <row r="14">
          <cell r="C14" t="str">
            <v>11. Lograr aumentar al 100% de EPS e IPS públicas, implementen la atención diferencial con poblaciones vulnerables</v>
          </cell>
        </row>
        <row r="15">
          <cell r="C15" t="str">
            <v>12. Aumentar la gestión de respuesta al 100% de los no conformidades relacionados con lo atención en salud al DADIS expresadas por los usuarios del SGSSS</v>
          </cell>
        </row>
        <row r="16">
          <cell r="C16" t="str">
            <v>13. Disminuir la tosa de mortalidad infantil o menos de 10,8 por mil nacidos vivos</v>
          </cell>
        </row>
        <row r="17">
          <cell r="C17" t="str">
            <v>14. Mantener el índice de Riesgo de Calidad del Aguo (IRCA) igual o interior al 5%</v>
          </cell>
        </row>
        <row r="18">
          <cell r="C18" t="str">
            <v>15. Mantener índice Riesgo por Abastecimiento de Agua (IRABA) igual o inferior al 25%</v>
          </cell>
        </row>
        <row r="19">
          <cell r="C19" t="str">
            <v>16. Lograr que el 80% de Establecimientos de Interés Sanitarios abiertos al público alcancen concepto sanitario favorable</v>
          </cell>
        </row>
        <row r="20">
          <cell r="C20" t="str">
            <v>17. Tasa de mortalidad por rabia humana</v>
          </cell>
        </row>
        <row r="21">
          <cell r="C21" t="str">
            <v>18. Porcentaje de supervivencia por cáncer infantil</v>
          </cell>
        </row>
        <row r="22">
          <cell r="C22" t="str">
            <v>19. Lograr que el 65%de las personas se mantengan sin enfermedad renal crónico o en estadio 1 y 2 o pesar de tener enfermedades precursoras (Hipertensión y diabetes</v>
          </cell>
        </row>
        <row r="23">
          <cell r="C23" t="str">
            <v>20. Mantener el logro del índice de caries dentales (COP) menor a 2.3 en menores de doce (12) años</v>
          </cell>
        </row>
        <row r="24">
          <cell r="C24" t="str">
            <v>21. Garantizar lo atención al 100% de los defectos refractivos en niños entre 2 y 8 años identificados</v>
          </cell>
        </row>
        <row r="25">
          <cell r="C25" t="str">
            <v>22. Garantizar la atención al 100% de los niños de alto riesgo de 0 o 12 años  identificados con hipoacusia</v>
          </cell>
        </row>
        <row r="26">
          <cell r="C26" t="str">
            <v>23. Garantizar la atención al 100% de los niños de alto riesgo de 0 o 12 años  identificados con hipoacusia</v>
          </cell>
        </row>
        <row r="27">
          <cell r="C27" t="str">
            <v>24. Mantener la Tasa de mortalidad por suicidio por debajo de 3.8 por 100.000 habitantes</v>
          </cell>
        </row>
        <row r="28">
          <cell r="C28" t="str">
            <v>25. Vigilar que el 100% de las instituciones de atención a lo drogadicción habilitados apliquen protocolos de tratamiento de consumo de sustancias psicoactivas o los casos notificados</v>
          </cell>
        </row>
        <row r="29">
          <cell r="C29" t="str">
            <v>26. Incrementar A 3 meses la duración medio de la lactancia materna en menores de 6 meses</v>
          </cell>
        </row>
        <row r="30">
          <cell r="C30" t="str">
            <v>27. Mantener por debajo de 5,4 % la desnutrición global (bajo peso para la edad) en menores de 5 años</v>
          </cell>
        </row>
        <row r="31">
          <cell r="C31" t="str">
            <v>28. Mantener en menos de 8.23% la proporción de bajo peso al nacer</v>
          </cell>
        </row>
        <row r="32">
          <cell r="C32" t="str">
            <v>29. Lograr que el 80% de los establecimientos de alimentos y bebidas alcohólicas alcancen concepto favorable al cumplimiento de los condiciones sanitarias establecidas en la normatividad</v>
          </cell>
        </row>
        <row r="33">
          <cell r="C33" t="str">
            <v>30. Disminuir ol 2% la trasmisión materno infantil del VIH, sobre el número de niños expuestos</v>
          </cell>
        </row>
        <row r="34">
          <cell r="C34" t="str">
            <v>31. Mantener la incidencia de infección del VIH en menos de 1%</v>
          </cell>
        </row>
        <row r="35">
          <cell r="C35" t="str">
            <v>32. Disminuir la proporción de adolescentes embarazadas al 19%</v>
          </cell>
        </row>
        <row r="36">
          <cell r="C36" t="str">
            <v>33. Disminuir la mortalidad materna a 31,2 X 100.000 nacidos vivos</v>
          </cell>
        </row>
        <row r="37">
          <cell r="C37" t="str">
            <v>34. Mantener la meta de eliminación de la lepra como enfermedad en salud pública en menos de 1 caso X 10.000 habitante</v>
          </cell>
        </row>
        <row r="38">
          <cell r="C38" t="str">
            <v>35. Disminuirla tasa de mortalidad por tuberculosis a 1,96 x 100.000</v>
          </cell>
        </row>
        <row r="39">
          <cell r="C39" t="str">
            <v>36. Lograr Coberturas de vacunación del 95% en niños y niños menores de un año</v>
          </cell>
        </row>
        <row r="40">
          <cell r="C40" t="str">
            <v>37. Lograr Coberturas de vacunación del 95% en niños y niñas  de un año</v>
          </cell>
        </row>
        <row r="41">
          <cell r="C41" t="str">
            <v>38. DISMINUIR LA LETALIDAD POR DENGUE A MENOS DEL 2% EN EL DISTRITO</v>
          </cell>
        </row>
        <row r="42">
          <cell r="C42" t="str">
            <v>39. DISMINUIR LA TASA DE MORTALIDAD POR IRA ENMENORESDE 5 AÑOS a 15X100.000</v>
          </cell>
        </row>
        <row r="43">
          <cell r="C43" t="str">
            <v>40. Reducir a niveles menores a 1 por cada 100.000 habitantes la mortalidad por urgencias, emergencias y desastres.</v>
          </cell>
        </row>
        <row r="44">
          <cell r="C44" t="str">
            <v>41. 25% de la población del sector informal de la economía con acciones de promoción de la salud y prevención de riesgos laborales</v>
          </cell>
        </row>
        <row r="45">
          <cell r="C45" t="str">
            <v>42. Disminuir a 6% la tasa de accidentalidad en el trabajo en el Distrito</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 xml:space="preserve"> </v>
          </cell>
        </row>
        <row r="52">
          <cell r="C52" t="str">
            <v xml:space="preserve"> </v>
          </cell>
        </row>
        <row r="53">
          <cell r="C53" t="str">
            <v xml:space="preserve"> </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lcart-my.sharepoint.com/:f:/g/personal/etvdadis_cartagena_gov_co/EldOm2fg1LlCmg21FAz9q4gBCgKD9lztPf5thA_Apuq6EQ?e=tojqM4" TargetMode="External"/><Relationship Id="rId2" Type="http://schemas.openxmlformats.org/officeDocument/2006/relationships/hyperlink" Target="https://alcart-my.sharepoint.com/:f:/g/personal/ecntdadis_cartagena_gov_co/Eq6VfVtAcRpFjg1tkQ2MDYoB9GKRXl_ZbNkFdj-r6gDqCg?e=mkasUl" TargetMode="External"/><Relationship Id="rId1" Type="http://schemas.openxmlformats.org/officeDocument/2006/relationships/hyperlink" Target="https://alcart-my.sharepoint.com/:f:/g/personal/ssadadis_cartagena_gov_co/Emsdy6H_N6BItVulYDUSAYABFc9p7K99N_qQRXhTFsFyQg?e=UsMP41" TargetMode="External"/><Relationship Id="rId5" Type="http://schemas.openxmlformats.org/officeDocument/2006/relationships/printerSettings" Target="../printerSettings/printerSettings1.bin"/><Relationship Id="rId4" Type="http://schemas.openxmlformats.org/officeDocument/2006/relationships/hyperlink" Target="https://alcart-my.sharepoint.com/:f:/g/personal/etvdadis_cartagena_gov_co/EldOm2fg1LlCmg21FAz9q4gBCgKD9lztPf5thA_Apuq6EQ?e=tojqM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91"/>
  <sheetViews>
    <sheetView tabSelected="1" topLeftCell="A2" zoomScale="30" zoomScaleNormal="30" workbookViewId="0">
      <pane xSplit="2" ySplit="1" topLeftCell="K175" activePane="bottomRight" state="frozen"/>
      <selection activeCell="A2" sqref="A2"/>
      <selection pane="topRight" activeCell="C2" sqref="C2"/>
      <selection pane="bottomLeft" activeCell="A3" sqref="A3"/>
      <selection pane="bottomRight" activeCell="AI185" sqref="AI185"/>
    </sheetView>
  </sheetViews>
  <sheetFormatPr baseColWidth="10" defaultColWidth="9.1796875" defaultRowHeight="14.5" x14ac:dyDescent="0.35"/>
  <cols>
    <col min="1" max="1" width="15" style="6" customWidth="1"/>
    <col min="2" max="2" width="25.7265625" style="6" customWidth="1"/>
    <col min="3" max="3" width="19" style="6" hidden="1" customWidth="1"/>
    <col min="4" max="4" width="15.453125" style="6" hidden="1" customWidth="1"/>
    <col min="5" max="5" width="16.453125" style="6" hidden="1" customWidth="1"/>
    <col min="6" max="6" width="14.7265625" style="55" hidden="1" customWidth="1"/>
    <col min="7" max="7" width="17.1796875" style="55" hidden="1" customWidth="1"/>
    <col min="8" max="8" width="20.453125" style="55" hidden="1" customWidth="1"/>
    <col min="9" max="9" width="15" style="55" hidden="1" customWidth="1"/>
    <col min="10" max="10" width="28" style="6" customWidth="1"/>
    <col min="11" max="11" width="20.7265625" style="6" customWidth="1"/>
    <col min="12" max="12" width="14.81640625" style="6" customWidth="1"/>
    <col min="13" max="13" width="33.7265625" style="330" customWidth="1"/>
    <col min="14" max="14" width="0.26953125" style="6" customWidth="1"/>
    <col min="15" max="15" width="15.7265625" style="58" customWidth="1"/>
    <col min="16" max="16" width="37.81640625" style="55" customWidth="1"/>
    <col min="17" max="17" width="41.26953125" style="55" hidden="1" customWidth="1"/>
    <col min="18" max="18" width="32.26953125" style="55" hidden="1" customWidth="1"/>
    <col min="19" max="19" width="36.54296875" style="55" hidden="1" customWidth="1"/>
    <col min="20" max="20" width="12.1796875" style="55" hidden="1" customWidth="1"/>
    <col min="21" max="21" width="11.7265625" style="55" hidden="1" customWidth="1"/>
    <col min="22" max="22" width="10.453125" style="55" hidden="1" customWidth="1"/>
    <col min="23" max="23" width="11.54296875" style="55" hidden="1" customWidth="1"/>
    <col min="24" max="24" width="22.26953125" style="5" customWidth="1"/>
    <col min="25" max="25" width="17.54296875" style="4" customWidth="1"/>
    <col min="26" max="27" width="23.54296875" style="4" customWidth="1"/>
    <col min="28" max="28" width="19.81640625" style="4" customWidth="1"/>
    <col min="29" max="29" width="23.7265625" style="4" customWidth="1"/>
    <col min="30" max="30" width="20.1796875" style="4" customWidth="1"/>
    <col min="31" max="31" width="23.54296875" style="4" customWidth="1"/>
    <col min="32" max="32" width="28.81640625" style="56" customWidth="1"/>
    <col min="33" max="33" width="11.26953125" style="57" customWidth="1"/>
    <col min="34" max="34" width="25.7265625" style="6" customWidth="1"/>
    <col min="35" max="35" width="44.453125" style="55" customWidth="1"/>
    <col min="36" max="36" width="20.81640625" style="3" customWidth="1"/>
    <col min="37" max="37" width="18.453125" customWidth="1"/>
    <col min="38" max="38" width="18.1796875" customWidth="1"/>
    <col min="39" max="39" width="22.54296875" style="2" customWidth="1"/>
    <col min="40" max="40" width="18.81640625" style="1" hidden="1" customWidth="1"/>
    <col min="41" max="41" width="21" hidden="1" customWidth="1"/>
    <col min="42" max="42" width="23.26953125" customWidth="1"/>
    <col min="43" max="43" width="23" customWidth="1"/>
    <col min="44" max="44" width="19.453125" customWidth="1"/>
    <col min="45" max="45" width="29.453125" style="443" customWidth="1"/>
    <col min="46" max="46" width="49.453125" style="58" hidden="1" customWidth="1"/>
    <col min="47" max="47" width="53.54296875" style="59" hidden="1" customWidth="1"/>
    <col min="48" max="48" width="65.54296875" customWidth="1"/>
    <col min="49" max="49" width="27.1796875" style="68" hidden="1" customWidth="1"/>
    <col min="50" max="50" width="50.453125" style="74" customWidth="1"/>
    <col min="51" max="51" width="52" style="74" customWidth="1"/>
    <col min="52" max="52" width="37.54296875" customWidth="1"/>
    <col min="53" max="53" width="15.81640625" customWidth="1"/>
    <col min="54" max="54" width="68.81640625" style="60" customWidth="1"/>
    <col min="55" max="55" width="38.54296875" customWidth="1"/>
    <col min="56" max="56" width="92.26953125" customWidth="1"/>
    <col min="57" max="57" width="118.81640625" customWidth="1"/>
    <col min="58" max="58" width="71.1796875" customWidth="1"/>
    <col min="59" max="59" width="107.7265625" customWidth="1"/>
    <col min="60" max="261" width="11.453125" customWidth="1"/>
  </cols>
  <sheetData>
    <row r="1" spans="1:59" ht="134.25" hidden="1" customHeight="1" x14ac:dyDescent="0.35">
      <c r="E1" s="554" t="s">
        <v>710</v>
      </c>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row>
    <row r="2" spans="1:59" s="258" customFormat="1" ht="65.25" customHeight="1" x14ac:dyDescent="0.25">
      <c r="A2" s="248" t="s">
        <v>19</v>
      </c>
      <c r="B2" s="248" t="s">
        <v>18</v>
      </c>
      <c r="C2" s="248" t="s">
        <v>17</v>
      </c>
      <c r="D2" s="248" t="s">
        <v>16</v>
      </c>
      <c r="E2" s="248" t="s">
        <v>15</v>
      </c>
      <c r="F2" s="248" t="s">
        <v>30</v>
      </c>
      <c r="G2" s="248" t="s">
        <v>31</v>
      </c>
      <c r="H2" s="248" t="s">
        <v>32</v>
      </c>
      <c r="I2" s="248" t="s">
        <v>708</v>
      </c>
      <c r="J2" s="248" t="s">
        <v>14</v>
      </c>
      <c r="K2" s="248" t="s">
        <v>13</v>
      </c>
      <c r="L2" s="248" t="s">
        <v>16</v>
      </c>
      <c r="M2" s="314" t="s">
        <v>12</v>
      </c>
      <c r="N2" s="249" t="s">
        <v>12</v>
      </c>
      <c r="O2" s="250" t="s">
        <v>33</v>
      </c>
      <c r="P2" s="250" t="s">
        <v>34</v>
      </c>
      <c r="Q2" s="251" t="s">
        <v>35</v>
      </c>
      <c r="R2" s="252" t="s">
        <v>36</v>
      </c>
      <c r="S2" s="253" t="s">
        <v>37</v>
      </c>
      <c r="T2" s="253" t="s">
        <v>38</v>
      </c>
      <c r="U2" s="253" t="s">
        <v>39</v>
      </c>
      <c r="V2" s="253" t="s">
        <v>40</v>
      </c>
      <c r="W2" s="253" t="s">
        <v>41</v>
      </c>
      <c r="X2" s="254" t="s">
        <v>11</v>
      </c>
      <c r="Y2" s="254" t="s">
        <v>23</v>
      </c>
      <c r="Z2" s="254" t="s">
        <v>700</v>
      </c>
      <c r="AA2" s="254" t="s">
        <v>720</v>
      </c>
      <c r="AB2" s="267" t="s">
        <v>823</v>
      </c>
      <c r="AC2" s="267" t="s">
        <v>824</v>
      </c>
      <c r="AD2" s="267" t="s">
        <v>825</v>
      </c>
      <c r="AE2" s="267" t="s">
        <v>826</v>
      </c>
      <c r="AF2" s="250" t="s">
        <v>10</v>
      </c>
      <c r="AG2" s="254" t="s">
        <v>27</v>
      </c>
      <c r="AH2" s="250" t="s">
        <v>9</v>
      </c>
      <c r="AI2" s="250" t="s">
        <v>42</v>
      </c>
      <c r="AJ2" s="255" t="s">
        <v>29</v>
      </c>
      <c r="AK2" s="254" t="s">
        <v>8</v>
      </c>
      <c r="AL2" s="254" t="s">
        <v>28</v>
      </c>
      <c r="AM2" s="254" t="s">
        <v>21</v>
      </c>
      <c r="AN2" s="256" t="s">
        <v>22</v>
      </c>
      <c r="AO2" s="256" t="s">
        <v>24</v>
      </c>
      <c r="AP2" s="254" t="s">
        <v>688</v>
      </c>
      <c r="AQ2" s="254" t="s">
        <v>687</v>
      </c>
      <c r="AR2" s="428" t="s">
        <v>713</v>
      </c>
      <c r="AS2" s="428" t="s">
        <v>834</v>
      </c>
      <c r="AT2" s="250" t="s">
        <v>7</v>
      </c>
      <c r="AU2" s="250" t="s">
        <v>6</v>
      </c>
      <c r="AV2" s="254" t="s">
        <v>5</v>
      </c>
      <c r="AW2" s="254" t="s">
        <v>25</v>
      </c>
      <c r="AX2" s="254" t="s">
        <v>4</v>
      </c>
      <c r="AY2" s="254" t="s">
        <v>3</v>
      </c>
      <c r="AZ2" s="254" t="s">
        <v>2</v>
      </c>
      <c r="BA2" s="254" t="s">
        <v>1</v>
      </c>
      <c r="BB2" s="254" t="s">
        <v>26</v>
      </c>
      <c r="BC2" s="257" t="s">
        <v>20</v>
      </c>
      <c r="BD2" s="453" t="s">
        <v>836</v>
      </c>
      <c r="BE2" s="453" t="s">
        <v>837</v>
      </c>
      <c r="BF2" s="453" t="s">
        <v>838</v>
      </c>
      <c r="BG2" s="254" t="s">
        <v>0</v>
      </c>
    </row>
    <row r="3" spans="1:59" ht="141" customHeight="1" x14ac:dyDescent="0.35">
      <c r="A3" s="536" t="s">
        <v>43</v>
      </c>
      <c r="B3" s="461" t="s">
        <v>44</v>
      </c>
      <c r="C3" s="7" t="s">
        <v>45</v>
      </c>
      <c r="D3" s="8" t="s">
        <v>46</v>
      </c>
      <c r="E3" s="7" t="s">
        <v>47</v>
      </c>
      <c r="F3" s="15">
        <v>0.99450000000000005</v>
      </c>
      <c r="G3" s="15">
        <v>0.99450000000000005</v>
      </c>
      <c r="H3" s="15">
        <v>0.99480000000000002</v>
      </c>
      <c r="I3" s="15">
        <v>0.99539999999999995</v>
      </c>
      <c r="J3" s="461" t="s">
        <v>48</v>
      </c>
      <c r="K3" s="277" t="s">
        <v>49</v>
      </c>
      <c r="L3" s="9">
        <v>4138</v>
      </c>
      <c r="M3" s="315" t="s">
        <v>50</v>
      </c>
      <c r="N3" s="277" t="s">
        <v>50</v>
      </c>
      <c r="O3" s="39">
        <v>15000</v>
      </c>
      <c r="P3" s="39">
        <v>3750</v>
      </c>
      <c r="Q3" s="10">
        <v>4558</v>
      </c>
      <c r="R3" s="10">
        <v>3750</v>
      </c>
      <c r="S3" s="10">
        <v>2150</v>
      </c>
      <c r="T3" s="10">
        <v>1461</v>
      </c>
      <c r="U3" s="10">
        <v>811</v>
      </c>
      <c r="V3" s="10">
        <v>534</v>
      </c>
      <c r="W3" s="10"/>
      <c r="X3" s="39">
        <v>3750</v>
      </c>
      <c r="Y3" s="259">
        <v>10290</v>
      </c>
      <c r="Z3" s="259">
        <f>1899</f>
        <v>1899</v>
      </c>
      <c r="AA3" s="259">
        <v>4531</v>
      </c>
      <c r="AB3" s="259">
        <f>+Z3+AA3</f>
        <v>6430</v>
      </c>
      <c r="AC3" s="200">
        <v>1</v>
      </c>
      <c r="AD3" s="259">
        <f>+AB3+Y3</f>
        <v>16720</v>
      </c>
      <c r="AE3" s="454">
        <v>1</v>
      </c>
      <c r="AF3" s="555" t="s">
        <v>517</v>
      </c>
      <c r="AG3" s="556">
        <v>2021130010156</v>
      </c>
      <c r="AH3" s="555" t="s">
        <v>51</v>
      </c>
      <c r="AI3" s="230" t="s">
        <v>497</v>
      </c>
      <c r="AJ3" s="11">
        <v>315790</v>
      </c>
      <c r="AK3" s="10" t="s">
        <v>503</v>
      </c>
      <c r="AL3" s="10">
        <v>365</v>
      </c>
      <c r="AM3" s="230" t="s">
        <v>701</v>
      </c>
      <c r="AN3" s="230"/>
      <c r="AO3" s="230"/>
      <c r="AP3" s="11">
        <v>328710</v>
      </c>
      <c r="AQ3" s="177">
        <v>0.26022831628613952</v>
      </c>
      <c r="AR3" s="170">
        <v>334958</v>
      </c>
      <c r="AS3" s="440">
        <f>+(AR3/315790)*25%+AQ3</f>
        <v>0.52540295766173717</v>
      </c>
      <c r="AT3" s="10" t="s">
        <v>52</v>
      </c>
      <c r="AU3" s="10" t="s">
        <v>53</v>
      </c>
      <c r="AV3" s="230" t="s">
        <v>134</v>
      </c>
      <c r="AW3" s="69">
        <v>1200000000</v>
      </c>
      <c r="AX3" s="230" t="s">
        <v>506</v>
      </c>
      <c r="AY3" s="230" t="s">
        <v>510</v>
      </c>
      <c r="AZ3" s="10" t="s">
        <v>511</v>
      </c>
      <c r="BA3" s="10" t="s">
        <v>515</v>
      </c>
      <c r="BB3" s="120" t="s">
        <v>514</v>
      </c>
      <c r="BC3" s="10"/>
      <c r="BD3" s="668">
        <v>655151110287</v>
      </c>
      <c r="BE3" s="668">
        <v>647328753465</v>
      </c>
      <c r="BF3" s="671">
        <f>+BE3/BD3</f>
        <v>0.98806022503942137</v>
      </c>
      <c r="BG3" s="230" t="s">
        <v>714</v>
      </c>
    </row>
    <row r="4" spans="1:59" ht="72.5" x14ac:dyDescent="0.35">
      <c r="A4" s="536"/>
      <c r="B4" s="461"/>
      <c r="C4" s="7" t="s">
        <v>54</v>
      </c>
      <c r="D4" s="15">
        <v>0.91700000000000004</v>
      </c>
      <c r="E4" s="7" t="s">
        <v>55</v>
      </c>
      <c r="F4" s="8">
        <v>0.41</v>
      </c>
      <c r="G4" s="8">
        <v>0.57999999999999996</v>
      </c>
      <c r="H4" s="8">
        <v>0.69199999999999995</v>
      </c>
      <c r="I4" s="8">
        <v>0.82</v>
      </c>
      <c r="J4" s="461"/>
      <c r="K4" s="518" t="s">
        <v>56</v>
      </c>
      <c r="L4" s="557">
        <v>1</v>
      </c>
      <c r="M4" s="558" t="s">
        <v>57</v>
      </c>
      <c r="N4" s="518" t="s">
        <v>57</v>
      </c>
      <c r="O4" s="507">
        <v>551745</v>
      </c>
      <c r="P4" s="507">
        <f>+O4+P3</f>
        <v>555495</v>
      </c>
      <c r="Q4" s="259">
        <v>580173</v>
      </c>
      <c r="R4" s="259">
        <v>580173</v>
      </c>
      <c r="S4" s="259">
        <v>580930</v>
      </c>
      <c r="T4" s="259">
        <v>579872</v>
      </c>
      <c r="U4" s="259">
        <v>591583</v>
      </c>
      <c r="V4" s="259">
        <v>590545</v>
      </c>
      <c r="W4" s="259"/>
      <c r="X4" s="507">
        <v>594158</v>
      </c>
      <c r="Y4" s="559">
        <v>1176217</v>
      </c>
      <c r="Z4" s="507">
        <v>619175</v>
      </c>
      <c r="AA4" s="507">
        <v>630687</v>
      </c>
      <c r="AB4" s="507">
        <f>+AA4</f>
        <v>630687</v>
      </c>
      <c r="AC4" s="508">
        <v>0.5</v>
      </c>
      <c r="AD4" s="507">
        <f>+AB4+Y4</f>
        <v>1806904</v>
      </c>
      <c r="AE4" s="563">
        <v>0.66700000000000004</v>
      </c>
      <c r="AF4" s="555"/>
      <c r="AG4" s="556"/>
      <c r="AH4" s="555"/>
      <c r="AI4" s="230" t="s">
        <v>498</v>
      </c>
      <c r="AJ4" s="11">
        <v>274755</v>
      </c>
      <c r="AK4" s="10" t="s">
        <v>503</v>
      </c>
      <c r="AL4" s="10">
        <v>365</v>
      </c>
      <c r="AM4" s="230" t="s">
        <v>702</v>
      </c>
      <c r="AN4" s="230"/>
      <c r="AO4" s="230"/>
      <c r="AP4" s="11">
        <v>290465</v>
      </c>
      <c r="AQ4" s="177">
        <v>0.26429455332932977</v>
      </c>
      <c r="AR4" s="170">
        <v>295729</v>
      </c>
      <c r="AS4" s="440">
        <f>+(AR4/274755)*25%+AQ4</f>
        <v>0.53337882841076589</v>
      </c>
      <c r="AT4" s="10" t="s">
        <v>52</v>
      </c>
      <c r="AU4" s="10" t="s">
        <v>53</v>
      </c>
      <c r="AV4" s="230" t="s">
        <v>512</v>
      </c>
      <c r="AW4" s="69">
        <v>7967667606</v>
      </c>
      <c r="AX4" s="230" t="s">
        <v>507</v>
      </c>
      <c r="AY4" s="230" t="s">
        <v>510</v>
      </c>
      <c r="AZ4" s="10" t="s">
        <v>511</v>
      </c>
      <c r="BA4" s="10" t="s">
        <v>515</v>
      </c>
      <c r="BB4" s="120" t="s">
        <v>514</v>
      </c>
      <c r="BC4" s="10"/>
      <c r="BD4" s="669"/>
      <c r="BE4" s="669"/>
      <c r="BF4" s="672"/>
      <c r="BG4" s="230" t="s">
        <v>715</v>
      </c>
    </row>
    <row r="5" spans="1:59" ht="87" x14ac:dyDescent="0.35">
      <c r="A5" s="536"/>
      <c r="B5" s="461"/>
      <c r="C5" s="7" t="s">
        <v>58</v>
      </c>
      <c r="D5" s="16" t="s">
        <v>59</v>
      </c>
      <c r="E5" s="7" t="s">
        <v>60</v>
      </c>
      <c r="F5" s="28" t="s">
        <v>61</v>
      </c>
      <c r="G5" s="28" t="s">
        <v>61</v>
      </c>
      <c r="H5" s="8" t="s">
        <v>62</v>
      </c>
      <c r="I5" s="8" t="s">
        <v>711</v>
      </c>
      <c r="J5" s="461"/>
      <c r="K5" s="518"/>
      <c r="L5" s="557"/>
      <c r="M5" s="558"/>
      <c r="N5" s="518"/>
      <c r="O5" s="507"/>
      <c r="P5" s="507"/>
      <c r="Q5" s="259"/>
      <c r="R5" s="260"/>
      <c r="S5" s="260"/>
      <c r="T5" s="260"/>
      <c r="U5" s="260"/>
      <c r="V5" s="260"/>
      <c r="W5" s="260"/>
      <c r="X5" s="507"/>
      <c r="Y5" s="559"/>
      <c r="Z5" s="507"/>
      <c r="AA5" s="507"/>
      <c r="AB5" s="507"/>
      <c r="AC5" s="508"/>
      <c r="AD5" s="507"/>
      <c r="AE5" s="563"/>
      <c r="AF5" s="555"/>
      <c r="AG5" s="556"/>
      <c r="AH5" s="555"/>
      <c r="AI5" s="18" t="s">
        <v>499</v>
      </c>
      <c r="AJ5" s="11">
        <v>120939</v>
      </c>
      <c r="AK5" s="13" t="s">
        <v>503</v>
      </c>
      <c r="AL5" s="10">
        <v>365</v>
      </c>
      <c r="AM5" s="18" t="s">
        <v>703</v>
      </c>
      <c r="AN5" s="18"/>
      <c r="AO5" s="18"/>
      <c r="AP5" s="11">
        <v>124891</v>
      </c>
      <c r="AQ5" s="177">
        <v>0.25816940771794045</v>
      </c>
      <c r="AR5" s="170">
        <v>126159</v>
      </c>
      <c r="AS5" s="440">
        <f>+(AR5/120939)*25%+AQ5</f>
        <v>0.51895997155590834</v>
      </c>
      <c r="AT5" s="10" t="s">
        <v>52</v>
      </c>
      <c r="AU5" s="10" t="s">
        <v>53</v>
      </c>
      <c r="AV5" s="230" t="s">
        <v>512</v>
      </c>
      <c r="AW5" s="69">
        <v>392447844882</v>
      </c>
      <c r="AX5" s="230" t="s">
        <v>508</v>
      </c>
      <c r="AY5" s="230" t="s">
        <v>510</v>
      </c>
      <c r="AZ5" s="10" t="s">
        <v>511</v>
      </c>
      <c r="BA5" s="10" t="s">
        <v>515</v>
      </c>
      <c r="BB5" s="120" t="s">
        <v>514</v>
      </c>
      <c r="BC5" s="10"/>
      <c r="BD5" s="669"/>
      <c r="BE5" s="669"/>
      <c r="BF5" s="672"/>
      <c r="BG5" s="230" t="s">
        <v>716</v>
      </c>
    </row>
    <row r="6" spans="1:59" ht="72.5" x14ac:dyDescent="0.35">
      <c r="A6" s="536"/>
      <c r="B6" s="461"/>
      <c r="C6" s="7" t="s">
        <v>63</v>
      </c>
      <c r="D6" s="16" t="s">
        <v>64</v>
      </c>
      <c r="E6" s="7" t="s">
        <v>65</v>
      </c>
      <c r="F6" s="28" t="s">
        <v>66</v>
      </c>
      <c r="G6" s="28" t="s">
        <v>67</v>
      </c>
      <c r="H6" s="8" t="s">
        <v>68</v>
      </c>
      <c r="I6" s="8" t="s">
        <v>712</v>
      </c>
      <c r="J6" s="461"/>
      <c r="K6" s="518"/>
      <c r="L6" s="557"/>
      <c r="M6" s="558"/>
      <c r="N6" s="518"/>
      <c r="O6" s="507"/>
      <c r="P6" s="507"/>
      <c r="Q6" s="259"/>
      <c r="R6" s="260"/>
      <c r="S6" s="260"/>
      <c r="T6" s="260"/>
      <c r="U6" s="260"/>
      <c r="V6" s="260"/>
      <c r="W6" s="260"/>
      <c r="X6" s="507"/>
      <c r="Y6" s="559"/>
      <c r="Z6" s="507"/>
      <c r="AA6" s="507"/>
      <c r="AB6" s="507"/>
      <c r="AC6" s="508"/>
      <c r="AD6" s="507"/>
      <c r="AE6" s="563"/>
      <c r="AF6" s="555"/>
      <c r="AG6" s="556"/>
      <c r="AH6" s="555"/>
      <c r="AI6" s="230" t="s">
        <v>500</v>
      </c>
      <c r="AJ6" s="11">
        <v>65692</v>
      </c>
      <c r="AK6" s="10" t="s">
        <v>503</v>
      </c>
      <c r="AL6" s="10">
        <v>365</v>
      </c>
      <c r="AM6" s="18" t="s">
        <v>704</v>
      </c>
      <c r="AN6" s="19"/>
      <c r="AO6" s="19"/>
      <c r="AP6" s="11">
        <v>68040</v>
      </c>
      <c r="AQ6" s="177">
        <v>0.25893563904280581</v>
      </c>
      <c r="AR6" s="17">
        <v>68744</v>
      </c>
      <c r="AS6" s="440">
        <f>+(AR6/65692)*25%+AQ6</f>
        <v>0.52055044754307978</v>
      </c>
      <c r="AT6" s="10" t="s">
        <v>52</v>
      </c>
      <c r="AU6" s="10" t="s">
        <v>53</v>
      </c>
      <c r="AV6" s="230" t="s">
        <v>513</v>
      </c>
      <c r="AW6" s="69">
        <v>244062895047</v>
      </c>
      <c r="AX6" s="230" t="s">
        <v>509</v>
      </c>
      <c r="AY6" s="230" t="s">
        <v>510</v>
      </c>
      <c r="AZ6" s="10" t="s">
        <v>511</v>
      </c>
      <c r="BA6" s="10" t="s">
        <v>515</v>
      </c>
      <c r="BB6" s="120" t="s">
        <v>514</v>
      </c>
      <c r="BC6" s="10"/>
      <c r="BD6" s="669"/>
      <c r="BE6" s="669"/>
      <c r="BF6" s="672"/>
      <c r="BG6" s="230" t="s">
        <v>717</v>
      </c>
    </row>
    <row r="7" spans="1:59" ht="210" customHeight="1" x14ac:dyDescent="0.35">
      <c r="A7" s="536"/>
      <c r="B7" s="461"/>
      <c r="C7" s="7"/>
      <c r="D7" s="16"/>
      <c r="E7" s="7"/>
      <c r="F7" s="28"/>
      <c r="G7" s="28"/>
      <c r="H7" s="28"/>
      <c r="I7" s="28"/>
      <c r="J7" s="461"/>
      <c r="K7" s="518"/>
      <c r="L7" s="557"/>
      <c r="M7" s="558"/>
      <c r="N7" s="518"/>
      <c r="O7" s="507"/>
      <c r="P7" s="507"/>
      <c r="Q7" s="259"/>
      <c r="R7" s="260"/>
      <c r="S7" s="260"/>
      <c r="T7" s="260"/>
      <c r="U7" s="260"/>
      <c r="V7" s="260"/>
      <c r="W7" s="260"/>
      <c r="X7" s="507"/>
      <c r="Y7" s="559"/>
      <c r="Z7" s="507"/>
      <c r="AA7" s="507"/>
      <c r="AB7" s="507"/>
      <c r="AC7" s="508"/>
      <c r="AD7" s="507"/>
      <c r="AE7" s="563"/>
      <c r="AF7" s="555"/>
      <c r="AG7" s="556"/>
      <c r="AH7" s="555"/>
      <c r="AI7" s="20" t="s">
        <v>501</v>
      </c>
      <c r="AJ7" s="12">
        <v>1</v>
      </c>
      <c r="AK7" s="11" t="s">
        <v>503</v>
      </c>
      <c r="AL7" s="11">
        <v>365</v>
      </c>
      <c r="AM7" s="20" t="s">
        <v>504</v>
      </c>
      <c r="AN7" s="20"/>
      <c r="AO7" s="20"/>
      <c r="AP7" s="11">
        <v>9</v>
      </c>
      <c r="AQ7" s="177">
        <v>0.25</v>
      </c>
      <c r="AR7" s="170">
        <v>9</v>
      </c>
      <c r="AS7" s="440">
        <v>0.5</v>
      </c>
      <c r="AT7" s="10" t="s">
        <v>52</v>
      </c>
      <c r="AU7" s="10" t="s">
        <v>53</v>
      </c>
      <c r="AV7" s="10"/>
      <c r="AW7" s="69"/>
      <c r="AX7" s="230"/>
      <c r="AY7" s="230"/>
      <c r="AZ7" s="10"/>
      <c r="BA7" s="10" t="s">
        <v>515</v>
      </c>
      <c r="BB7" s="120" t="s">
        <v>516</v>
      </c>
      <c r="BC7" s="10"/>
      <c r="BD7" s="669"/>
      <c r="BE7" s="669"/>
      <c r="BF7" s="672"/>
      <c r="BG7" s="230" t="s">
        <v>718</v>
      </c>
    </row>
    <row r="8" spans="1:59" ht="43.5" x14ac:dyDescent="0.35">
      <c r="A8" s="536"/>
      <c r="B8" s="461"/>
      <c r="C8" s="7"/>
      <c r="D8" s="16"/>
      <c r="E8" s="7"/>
      <c r="F8" s="28"/>
      <c r="G8" s="28"/>
      <c r="H8" s="28"/>
      <c r="I8" s="28"/>
      <c r="J8" s="461"/>
      <c r="K8" s="518"/>
      <c r="L8" s="557"/>
      <c r="M8" s="558"/>
      <c r="N8" s="518"/>
      <c r="O8" s="507"/>
      <c r="P8" s="507"/>
      <c r="Q8" s="259"/>
      <c r="R8" s="260"/>
      <c r="S8" s="260"/>
      <c r="T8" s="260"/>
      <c r="U8" s="260"/>
      <c r="V8" s="260"/>
      <c r="W8" s="260"/>
      <c r="X8" s="507"/>
      <c r="Y8" s="559"/>
      <c r="Z8" s="507"/>
      <c r="AA8" s="507"/>
      <c r="AB8" s="507"/>
      <c r="AC8" s="508"/>
      <c r="AD8" s="507"/>
      <c r="AE8" s="563"/>
      <c r="AF8" s="555"/>
      <c r="AG8" s="556"/>
      <c r="AH8" s="555"/>
      <c r="AI8" s="20" t="s">
        <v>502</v>
      </c>
      <c r="AJ8" s="11">
        <v>3750</v>
      </c>
      <c r="AK8" s="11" t="s">
        <v>503</v>
      </c>
      <c r="AL8" s="11">
        <v>365</v>
      </c>
      <c r="AM8" s="20" t="s">
        <v>505</v>
      </c>
      <c r="AN8" s="20"/>
      <c r="AO8" s="20"/>
      <c r="AP8" s="11">
        <v>1899</v>
      </c>
      <c r="AQ8" s="177">
        <v>0.50639999999999996</v>
      </c>
      <c r="AR8" s="170">
        <v>2632</v>
      </c>
      <c r="AS8" s="440">
        <v>1</v>
      </c>
      <c r="AT8" s="10" t="s">
        <v>52</v>
      </c>
      <c r="AU8" s="10" t="s">
        <v>53</v>
      </c>
      <c r="AV8" s="10"/>
      <c r="AW8" s="69"/>
      <c r="AX8" s="230"/>
      <c r="AY8" s="230"/>
      <c r="AZ8" s="10"/>
      <c r="BA8" s="10" t="s">
        <v>515</v>
      </c>
      <c r="BB8" s="120" t="s">
        <v>514</v>
      </c>
      <c r="BC8" s="10"/>
      <c r="BD8" s="669"/>
      <c r="BE8" s="669"/>
      <c r="BF8" s="672"/>
      <c r="BG8" s="230" t="s">
        <v>719</v>
      </c>
    </row>
    <row r="9" spans="1:59" ht="42.75" customHeight="1" x14ac:dyDescent="0.35">
      <c r="A9" s="536"/>
      <c r="B9" s="461"/>
      <c r="C9" s="7"/>
      <c r="D9" s="16"/>
      <c r="E9" s="7"/>
      <c r="F9" s="28"/>
      <c r="G9" s="28"/>
      <c r="H9" s="28"/>
      <c r="I9" s="28"/>
      <c r="J9" s="461"/>
      <c r="K9" s="128"/>
      <c r="L9" s="36"/>
      <c r="M9" s="420"/>
      <c r="N9" s="128"/>
      <c r="O9" s="259"/>
      <c r="P9" s="259"/>
      <c r="Q9" s="259"/>
      <c r="R9" s="260"/>
      <c r="S9" s="260"/>
      <c r="T9" s="260"/>
      <c r="U9" s="260"/>
      <c r="V9" s="260"/>
      <c r="W9" s="260"/>
      <c r="X9" s="259"/>
      <c r="Y9" s="9"/>
      <c r="Z9" s="259"/>
      <c r="AA9" s="259"/>
      <c r="AB9" s="259"/>
      <c r="AC9" s="200"/>
      <c r="AD9" s="259"/>
      <c r="AE9" s="421"/>
      <c r="AF9" s="565" t="s">
        <v>517</v>
      </c>
      <c r="AG9" s="566"/>
      <c r="AH9" s="566"/>
      <c r="AI9" s="566"/>
      <c r="AJ9" s="566"/>
      <c r="AK9" s="566"/>
      <c r="AL9" s="566"/>
      <c r="AM9" s="566"/>
      <c r="AN9" s="566"/>
      <c r="AO9" s="566"/>
      <c r="AP9" s="566"/>
      <c r="AQ9" s="566"/>
      <c r="AR9" s="567"/>
      <c r="AS9" s="441">
        <f>AVERAGE(AS3:AS8)</f>
        <v>0.5997153675285819</v>
      </c>
      <c r="AT9" s="10"/>
      <c r="AU9" s="10"/>
      <c r="AV9" s="10"/>
      <c r="AW9" s="69"/>
      <c r="AX9" s="230"/>
      <c r="AY9" s="230"/>
      <c r="AZ9" s="10"/>
      <c r="BA9" s="10"/>
      <c r="BB9" s="120"/>
      <c r="BC9" s="10"/>
      <c r="BD9" s="669"/>
      <c r="BE9" s="669"/>
      <c r="BF9" s="672"/>
      <c r="BG9" s="230"/>
    </row>
    <row r="10" spans="1:59" s="14" customFormat="1" ht="83.25" customHeight="1" x14ac:dyDescent="0.35">
      <c r="A10" s="536"/>
      <c r="B10" s="461"/>
      <c r="C10" s="7" t="s">
        <v>69</v>
      </c>
      <c r="D10" s="15">
        <v>0.89600000000000002</v>
      </c>
      <c r="E10" s="7" t="s">
        <v>70</v>
      </c>
      <c r="F10" s="8">
        <v>0.47</v>
      </c>
      <c r="G10" s="8">
        <v>0.69</v>
      </c>
      <c r="H10" s="8">
        <v>0.73</v>
      </c>
      <c r="I10" s="8">
        <v>0.85</v>
      </c>
      <c r="J10" s="461"/>
      <c r="K10" s="24" t="s">
        <v>71</v>
      </c>
      <c r="L10" s="22">
        <v>1</v>
      </c>
      <c r="M10" s="316" t="s">
        <v>72</v>
      </c>
      <c r="N10" s="261" t="s">
        <v>72</v>
      </c>
      <c r="O10" s="203">
        <v>25</v>
      </c>
      <c r="P10" s="203">
        <v>25</v>
      </c>
      <c r="Q10" s="203">
        <v>14</v>
      </c>
      <c r="R10" s="263">
        <v>1</v>
      </c>
      <c r="S10" s="203">
        <v>19</v>
      </c>
      <c r="T10" s="264">
        <v>38</v>
      </c>
      <c r="U10" s="265">
        <v>56</v>
      </c>
      <c r="V10" s="265">
        <v>23</v>
      </c>
      <c r="W10" s="263"/>
      <c r="X10" s="263">
        <v>1</v>
      </c>
      <c r="Y10" s="263">
        <v>1</v>
      </c>
      <c r="Z10" s="263">
        <v>0.3</v>
      </c>
      <c r="AA10" s="263">
        <v>0.5</v>
      </c>
      <c r="AB10" s="263">
        <v>0.8</v>
      </c>
      <c r="AC10" s="263">
        <v>0.8</v>
      </c>
      <c r="AD10" s="263">
        <v>1</v>
      </c>
      <c r="AE10" s="296">
        <v>1</v>
      </c>
      <c r="AF10" s="545" t="s">
        <v>584</v>
      </c>
      <c r="AG10" s="546">
        <v>2021130010153</v>
      </c>
      <c r="AH10" s="545" t="s">
        <v>73</v>
      </c>
      <c r="AI10" s="269" t="s">
        <v>585</v>
      </c>
      <c r="AJ10" s="270">
        <v>70</v>
      </c>
      <c r="AK10" s="270" t="s">
        <v>503</v>
      </c>
      <c r="AL10" s="270">
        <v>365</v>
      </c>
      <c r="AM10" s="270">
        <v>70</v>
      </c>
      <c r="AN10" s="269"/>
      <c r="AO10" s="269"/>
      <c r="AP10" s="269">
        <v>22</v>
      </c>
      <c r="AQ10" s="171">
        <v>0.309</v>
      </c>
      <c r="AR10" s="24">
        <v>33</v>
      </c>
      <c r="AS10" s="205">
        <f>+(AP10+AR10)/AJ10</f>
        <v>0.7857142857142857</v>
      </c>
      <c r="AT10" s="23" t="s">
        <v>74</v>
      </c>
      <c r="AU10" s="23" t="s">
        <v>75</v>
      </c>
      <c r="AV10" s="25" t="s">
        <v>134</v>
      </c>
      <c r="AW10" s="153">
        <v>4540881984</v>
      </c>
      <c r="AX10" s="25" t="s">
        <v>506</v>
      </c>
      <c r="AY10" s="25" t="s">
        <v>522</v>
      </c>
      <c r="AZ10" s="23" t="s">
        <v>523</v>
      </c>
      <c r="BA10" s="23" t="s">
        <v>515</v>
      </c>
      <c r="BB10" s="154" t="s">
        <v>591</v>
      </c>
      <c r="BC10" s="23"/>
      <c r="BD10" s="669"/>
      <c r="BE10" s="669"/>
      <c r="BF10" s="672"/>
      <c r="BG10" s="25" t="s">
        <v>689</v>
      </c>
    </row>
    <row r="11" spans="1:59" s="14" customFormat="1" ht="60.75" customHeight="1" x14ac:dyDescent="0.35">
      <c r="A11" s="536"/>
      <c r="B11" s="461"/>
      <c r="C11" s="7"/>
      <c r="D11" s="15"/>
      <c r="E11" s="7"/>
      <c r="F11" s="28"/>
      <c r="G11" s="28"/>
      <c r="H11" s="28"/>
      <c r="I11" s="28"/>
      <c r="J11" s="461"/>
      <c r="K11" s="24" t="s">
        <v>76</v>
      </c>
      <c r="L11" s="24" t="s">
        <v>77</v>
      </c>
      <c r="M11" s="316" t="s">
        <v>78</v>
      </c>
      <c r="N11" s="24" t="s">
        <v>78</v>
      </c>
      <c r="O11" s="203">
        <v>5</v>
      </c>
      <c r="P11" s="203">
        <v>5</v>
      </c>
      <c r="Q11" s="203">
        <v>5</v>
      </c>
      <c r="R11" s="203">
        <v>5</v>
      </c>
      <c r="S11" s="203">
        <v>15</v>
      </c>
      <c r="T11" s="203">
        <v>15</v>
      </c>
      <c r="U11" s="203">
        <v>15</v>
      </c>
      <c r="V11" s="203">
        <v>15</v>
      </c>
      <c r="W11" s="203"/>
      <c r="X11" s="203">
        <v>5</v>
      </c>
      <c r="Y11" s="203">
        <v>5</v>
      </c>
      <c r="Z11" s="203">
        <v>13.22</v>
      </c>
      <c r="AA11" s="203">
        <v>8.1999999999999993</v>
      </c>
      <c r="AB11" s="203">
        <f>+AA11</f>
        <v>8.1999999999999993</v>
      </c>
      <c r="AC11" s="204">
        <v>0</v>
      </c>
      <c r="AD11" s="203">
        <v>8.1999999999999993</v>
      </c>
      <c r="AE11" s="297">
        <v>0</v>
      </c>
      <c r="AF11" s="545"/>
      <c r="AG11" s="546"/>
      <c r="AH11" s="545"/>
      <c r="AI11" s="25" t="s">
        <v>586</v>
      </c>
      <c r="AJ11" s="23">
        <v>15</v>
      </c>
      <c r="AK11" s="270" t="s">
        <v>503</v>
      </c>
      <c r="AL11" s="270">
        <v>365</v>
      </c>
      <c r="AM11" s="23">
        <v>15</v>
      </c>
      <c r="AN11" s="25"/>
      <c r="AO11" s="25"/>
      <c r="AP11" s="25">
        <v>13.22</v>
      </c>
      <c r="AQ11" s="172">
        <v>0.25</v>
      </c>
      <c r="AR11" s="203">
        <v>8.1999999999999993</v>
      </c>
      <c r="AS11" s="204">
        <v>0.5</v>
      </c>
      <c r="AT11" s="23" t="s">
        <v>74</v>
      </c>
      <c r="AU11" s="23" t="s">
        <v>75</v>
      </c>
      <c r="AV11" s="25" t="s">
        <v>520</v>
      </c>
      <c r="AW11" s="153">
        <v>50000000</v>
      </c>
      <c r="AX11" s="25" t="s">
        <v>518</v>
      </c>
      <c r="AY11" s="25" t="s">
        <v>522</v>
      </c>
      <c r="AZ11" s="23" t="s">
        <v>523</v>
      </c>
      <c r="BA11" s="23" t="s">
        <v>593</v>
      </c>
      <c r="BB11" s="154"/>
      <c r="BC11" s="23"/>
      <c r="BD11" s="669"/>
      <c r="BE11" s="669"/>
      <c r="BF11" s="672"/>
      <c r="BG11" s="25" t="s">
        <v>748</v>
      </c>
    </row>
    <row r="12" spans="1:59" s="14" customFormat="1" ht="61.5" customHeight="1" x14ac:dyDescent="0.35">
      <c r="A12" s="536"/>
      <c r="B12" s="461"/>
      <c r="C12" s="7"/>
      <c r="D12" s="15"/>
      <c r="E12" s="7"/>
      <c r="F12" s="28"/>
      <c r="G12" s="28"/>
      <c r="H12" s="28"/>
      <c r="I12" s="28"/>
      <c r="J12" s="461"/>
      <c r="K12" s="262" t="s">
        <v>79</v>
      </c>
      <c r="L12" s="262">
        <v>142</v>
      </c>
      <c r="M12" s="317" t="s">
        <v>80</v>
      </c>
      <c r="N12" s="262" t="s">
        <v>80</v>
      </c>
      <c r="O12" s="203">
        <f>142*4</f>
        <v>568</v>
      </c>
      <c r="P12" s="266">
        <v>142</v>
      </c>
      <c r="Q12" s="266">
        <v>142</v>
      </c>
      <c r="R12" s="266">
        <v>142</v>
      </c>
      <c r="S12" s="266">
        <v>142</v>
      </c>
      <c r="T12" s="266">
        <v>142</v>
      </c>
      <c r="U12" s="266">
        <v>142</v>
      </c>
      <c r="V12" s="266">
        <v>142</v>
      </c>
      <c r="W12" s="266"/>
      <c r="X12" s="266">
        <v>142</v>
      </c>
      <c r="Y12" s="266">
        <v>284</v>
      </c>
      <c r="Z12" s="266">
        <v>142</v>
      </c>
      <c r="AA12" s="266">
        <v>142</v>
      </c>
      <c r="AB12" s="266">
        <f>+AA12</f>
        <v>142</v>
      </c>
      <c r="AC12" s="268">
        <v>1</v>
      </c>
      <c r="AD12" s="266">
        <f>+AA12+Y12</f>
        <v>426</v>
      </c>
      <c r="AE12" s="298">
        <v>0.78300000000000003</v>
      </c>
      <c r="AF12" s="545"/>
      <c r="AG12" s="546"/>
      <c r="AH12" s="545"/>
      <c r="AI12" s="25" t="s">
        <v>587</v>
      </c>
      <c r="AJ12" s="23">
        <v>142</v>
      </c>
      <c r="AK12" s="270" t="s">
        <v>503</v>
      </c>
      <c r="AL12" s="270">
        <v>365</v>
      </c>
      <c r="AM12" s="23">
        <v>142</v>
      </c>
      <c r="AN12" s="25"/>
      <c r="AO12" s="25"/>
      <c r="AP12" s="25">
        <v>142</v>
      </c>
      <c r="AQ12" s="172">
        <v>0.25</v>
      </c>
      <c r="AR12" s="24" t="s">
        <v>750</v>
      </c>
      <c r="AS12" s="204">
        <v>0.5</v>
      </c>
      <c r="AT12" s="23" t="s">
        <v>74</v>
      </c>
      <c r="AU12" s="23" t="s">
        <v>75</v>
      </c>
      <c r="AV12" s="25" t="s">
        <v>521</v>
      </c>
      <c r="AW12" s="153">
        <v>150000000</v>
      </c>
      <c r="AX12" s="25" t="s">
        <v>519</v>
      </c>
      <c r="AY12" s="25" t="s">
        <v>522</v>
      </c>
      <c r="AZ12" s="23" t="s">
        <v>523</v>
      </c>
      <c r="BA12" s="23" t="s">
        <v>515</v>
      </c>
      <c r="BB12" s="154" t="s">
        <v>591</v>
      </c>
      <c r="BC12" s="23"/>
      <c r="BD12" s="669"/>
      <c r="BE12" s="669"/>
      <c r="BF12" s="672"/>
      <c r="BG12" s="25" t="s">
        <v>749</v>
      </c>
    </row>
    <row r="13" spans="1:59" s="14" customFormat="1" ht="63.65" customHeight="1" x14ac:dyDescent="0.35">
      <c r="A13" s="536"/>
      <c r="B13" s="461"/>
      <c r="C13" s="7"/>
      <c r="D13" s="15"/>
      <c r="E13" s="7"/>
      <c r="F13" s="28"/>
      <c r="G13" s="28"/>
      <c r="H13" s="28"/>
      <c r="I13" s="28"/>
      <c r="J13" s="461"/>
      <c r="K13" s="547" t="s">
        <v>81</v>
      </c>
      <c r="L13" s="548" t="s">
        <v>82</v>
      </c>
      <c r="M13" s="549" t="s">
        <v>83</v>
      </c>
      <c r="N13" s="550" t="s">
        <v>83</v>
      </c>
      <c r="O13" s="510">
        <v>135590745230</v>
      </c>
      <c r="P13" s="510">
        <v>25000000000</v>
      </c>
      <c r="Q13" s="291">
        <v>24059162773</v>
      </c>
      <c r="R13" s="291">
        <v>0</v>
      </c>
      <c r="S13" s="292" t="s">
        <v>84</v>
      </c>
      <c r="T13" s="292" t="s">
        <v>84</v>
      </c>
      <c r="U13" s="291">
        <v>65325486825</v>
      </c>
      <c r="V13" s="291">
        <v>43764636154</v>
      </c>
      <c r="W13" s="291"/>
      <c r="X13" s="510">
        <v>0</v>
      </c>
      <c r="Y13" s="510"/>
      <c r="Z13" s="510">
        <v>0</v>
      </c>
      <c r="AA13" s="510">
        <v>1035070509</v>
      </c>
      <c r="AB13" s="510"/>
      <c r="AC13" s="510"/>
      <c r="AD13" s="510"/>
      <c r="AE13" s="511">
        <v>1</v>
      </c>
      <c r="AF13" s="545"/>
      <c r="AG13" s="546"/>
      <c r="AH13" s="545"/>
      <c r="AI13" s="25" t="s">
        <v>588</v>
      </c>
      <c r="AJ13" s="150">
        <v>0.7</v>
      </c>
      <c r="AK13" s="270" t="s">
        <v>503</v>
      </c>
      <c r="AL13" s="270">
        <v>365</v>
      </c>
      <c r="AM13" s="150">
        <v>0.7</v>
      </c>
      <c r="AN13" s="25"/>
      <c r="AO13" s="25"/>
      <c r="AP13" s="25" t="s">
        <v>693</v>
      </c>
      <c r="AQ13" s="172">
        <v>0</v>
      </c>
      <c r="AR13" s="206" t="s">
        <v>747</v>
      </c>
      <c r="AS13" s="204">
        <v>0.21</v>
      </c>
      <c r="AT13" s="23" t="s">
        <v>74</v>
      </c>
      <c r="AU13" s="23" t="s">
        <v>75</v>
      </c>
      <c r="AV13" s="23"/>
      <c r="AW13" s="153"/>
      <c r="AX13" s="25"/>
      <c r="AY13" s="25"/>
      <c r="AZ13" s="23"/>
      <c r="BA13" s="23" t="s">
        <v>593</v>
      </c>
      <c r="BB13" s="154" t="s">
        <v>592</v>
      </c>
      <c r="BC13" s="23"/>
      <c r="BD13" s="669"/>
      <c r="BE13" s="669"/>
      <c r="BF13" s="672"/>
      <c r="BG13" s="25" t="s">
        <v>690</v>
      </c>
    </row>
    <row r="14" spans="1:59" s="14" customFormat="1" ht="43.5" x14ac:dyDescent="0.35">
      <c r="A14" s="536"/>
      <c r="B14" s="461"/>
      <c r="C14" s="7"/>
      <c r="D14" s="15"/>
      <c r="E14" s="7"/>
      <c r="F14" s="28"/>
      <c r="G14" s="28"/>
      <c r="H14" s="28"/>
      <c r="I14" s="28"/>
      <c r="J14" s="461"/>
      <c r="K14" s="547"/>
      <c r="L14" s="548"/>
      <c r="M14" s="549"/>
      <c r="N14" s="550"/>
      <c r="O14" s="510"/>
      <c r="P14" s="510"/>
      <c r="Q14" s="291"/>
      <c r="R14" s="293"/>
      <c r="S14" s="294"/>
      <c r="T14" s="291"/>
      <c r="U14" s="291"/>
      <c r="V14" s="291"/>
      <c r="W14" s="291"/>
      <c r="X14" s="510"/>
      <c r="Y14" s="510"/>
      <c r="Z14" s="510"/>
      <c r="AA14" s="510"/>
      <c r="AB14" s="510"/>
      <c r="AC14" s="510"/>
      <c r="AD14" s="510"/>
      <c r="AE14" s="511"/>
      <c r="AF14" s="545"/>
      <c r="AG14" s="546"/>
      <c r="AH14" s="545"/>
      <c r="AI14" s="25" t="s">
        <v>589</v>
      </c>
      <c r="AJ14" s="23">
        <v>1789</v>
      </c>
      <c r="AK14" s="270" t="s">
        <v>503</v>
      </c>
      <c r="AL14" s="270">
        <v>365</v>
      </c>
      <c r="AM14" s="23">
        <v>1789</v>
      </c>
      <c r="AN14" s="25"/>
      <c r="AO14" s="25"/>
      <c r="AP14" s="25">
        <v>543</v>
      </c>
      <c r="AQ14" s="172">
        <v>0.3</v>
      </c>
      <c r="AR14" s="203">
        <v>1533</v>
      </c>
      <c r="AS14" s="204">
        <v>1</v>
      </c>
      <c r="AT14" s="23" t="s">
        <v>74</v>
      </c>
      <c r="AU14" s="23" t="s">
        <v>75</v>
      </c>
      <c r="AV14" s="23"/>
      <c r="AW14" s="153"/>
      <c r="AX14" s="25"/>
      <c r="AY14" s="25"/>
      <c r="AZ14" s="23"/>
      <c r="BA14" s="23" t="s">
        <v>515</v>
      </c>
      <c r="BB14" s="154" t="s">
        <v>591</v>
      </c>
      <c r="BC14" s="23"/>
      <c r="BD14" s="669"/>
      <c r="BE14" s="669"/>
      <c r="BF14" s="672"/>
      <c r="BG14" s="25" t="s">
        <v>691</v>
      </c>
    </row>
    <row r="15" spans="1:59" s="14" customFormat="1" ht="43.5" x14ac:dyDescent="0.35">
      <c r="A15" s="536"/>
      <c r="B15" s="461"/>
      <c r="C15" s="26"/>
      <c r="D15" s="26"/>
      <c r="E15" s="26"/>
      <c r="F15" s="389"/>
      <c r="G15" s="389"/>
      <c r="H15" s="389"/>
      <c r="I15" s="389"/>
      <c r="J15" s="461"/>
      <c r="K15" s="547"/>
      <c r="L15" s="548"/>
      <c r="M15" s="549"/>
      <c r="N15" s="550"/>
      <c r="O15" s="510"/>
      <c r="P15" s="510"/>
      <c r="Q15" s="291"/>
      <c r="R15" s="293"/>
      <c r="S15" s="294"/>
      <c r="T15" s="291"/>
      <c r="U15" s="291"/>
      <c r="V15" s="291"/>
      <c r="W15" s="291"/>
      <c r="X15" s="510"/>
      <c r="Y15" s="510"/>
      <c r="Z15" s="510"/>
      <c r="AA15" s="510"/>
      <c r="AB15" s="510"/>
      <c r="AC15" s="510"/>
      <c r="AD15" s="510"/>
      <c r="AE15" s="511"/>
      <c r="AF15" s="545"/>
      <c r="AG15" s="546"/>
      <c r="AH15" s="545"/>
      <c r="AI15" s="25" t="s">
        <v>590</v>
      </c>
      <c r="AJ15" s="23">
        <v>1789</v>
      </c>
      <c r="AK15" s="270" t="s">
        <v>503</v>
      </c>
      <c r="AL15" s="270">
        <v>365</v>
      </c>
      <c r="AM15" s="23">
        <v>1789</v>
      </c>
      <c r="AN15" s="25"/>
      <c r="AO15" s="25"/>
      <c r="AP15" s="25">
        <v>231</v>
      </c>
      <c r="AQ15" s="172">
        <v>0.13</v>
      </c>
      <c r="AR15" s="203">
        <v>1038</v>
      </c>
      <c r="AS15" s="204">
        <f>+(AP15/AJ15)+(AR15/AJ15)</f>
        <v>0.70933482392397984</v>
      </c>
      <c r="AT15" s="23" t="s">
        <v>74</v>
      </c>
      <c r="AU15" s="23"/>
      <c r="AV15" s="23"/>
      <c r="AW15" s="153"/>
      <c r="AX15" s="25"/>
      <c r="AY15" s="25"/>
      <c r="AZ15" s="23"/>
      <c r="BA15" s="23" t="s">
        <v>515</v>
      </c>
      <c r="BB15" s="154" t="s">
        <v>591</v>
      </c>
      <c r="BC15" s="23"/>
      <c r="BD15" s="669"/>
      <c r="BE15" s="669"/>
      <c r="BF15" s="672"/>
      <c r="BG15" s="25" t="s">
        <v>692</v>
      </c>
    </row>
    <row r="16" spans="1:59" s="14" customFormat="1" ht="46.5" customHeight="1" x14ac:dyDescent="0.35">
      <c r="A16" s="536"/>
      <c r="B16" s="461"/>
      <c r="C16" s="26"/>
      <c r="D16" s="26"/>
      <c r="E16" s="26"/>
      <c r="F16" s="389"/>
      <c r="G16" s="389"/>
      <c r="H16" s="389"/>
      <c r="I16" s="389"/>
      <c r="J16" s="461"/>
      <c r="K16" s="269"/>
      <c r="L16" s="270"/>
      <c r="M16" s="318"/>
      <c r="N16" s="290"/>
      <c r="O16" s="291"/>
      <c r="P16" s="291"/>
      <c r="Q16" s="291"/>
      <c r="R16" s="293"/>
      <c r="S16" s="294"/>
      <c r="T16" s="291"/>
      <c r="U16" s="291"/>
      <c r="V16" s="291"/>
      <c r="W16" s="291"/>
      <c r="X16" s="291"/>
      <c r="Y16" s="291"/>
      <c r="Z16" s="291"/>
      <c r="AA16" s="291"/>
      <c r="AB16" s="291"/>
      <c r="AC16" s="291"/>
      <c r="AD16" s="291"/>
      <c r="AE16" s="422"/>
      <c r="AF16" s="568" t="s">
        <v>584</v>
      </c>
      <c r="AG16" s="569"/>
      <c r="AH16" s="569"/>
      <c r="AI16" s="569"/>
      <c r="AJ16" s="569"/>
      <c r="AK16" s="569"/>
      <c r="AL16" s="569"/>
      <c r="AM16" s="569"/>
      <c r="AN16" s="569"/>
      <c r="AO16" s="569"/>
      <c r="AP16" s="569"/>
      <c r="AQ16" s="569"/>
      <c r="AR16" s="570"/>
      <c r="AS16" s="423">
        <f>AVERAGE(AS10:AS15)</f>
        <v>0.61750818493971094</v>
      </c>
      <c r="AT16" s="23"/>
      <c r="AU16" s="23"/>
      <c r="AV16" s="23"/>
      <c r="AW16" s="153"/>
      <c r="AX16" s="25"/>
      <c r="AY16" s="25"/>
      <c r="AZ16" s="23"/>
      <c r="BA16" s="23"/>
      <c r="BB16" s="154"/>
      <c r="BC16" s="23"/>
      <c r="BD16" s="669"/>
      <c r="BE16" s="669"/>
      <c r="BF16" s="672"/>
      <c r="BG16" s="25"/>
    </row>
    <row r="17" spans="1:59" s="14" customFormat="1" ht="114" customHeight="1" x14ac:dyDescent="0.35">
      <c r="A17" s="536"/>
      <c r="B17" s="461"/>
      <c r="C17" s="26"/>
      <c r="D17" s="26"/>
      <c r="E17" s="26"/>
      <c r="F17" s="389"/>
      <c r="G17" s="389"/>
      <c r="H17" s="389"/>
      <c r="I17" s="389"/>
      <c r="J17" s="461"/>
      <c r="K17" s="30" t="s">
        <v>85</v>
      </c>
      <c r="L17" s="27" t="s">
        <v>86</v>
      </c>
      <c r="M17" s="319" t="s">
        <v>87</v>
      </c>
      <c r="N17" s="286" t="s">
        <v>87</v>
      </c>
      <c r="O17" s="287">
        <v>8</v>
      </c>
      <c r="P17" s="287">
        <v>8</v>
      </c>
      <c r="Q17" s="287">
        <v>6</v>
      </c>
      <c r="R17" s="288">
        <v>1</v>
      </c>
      <c r="S17" s="288">
        <v>0.75</v>
      </c>
      <c r="T17" s="288">
        <v>0</v>
      </c>
      <c r="U17" s="288">
        <v>0</v>
      </c>
      <c r="V17" s="288">
        <v>0.15</v>
      </c>
      <c r="W17" s="288"/>
      <c r="X17" s="288">
        <v>1</v>
      </c>
      <c r="Y17" s="288"/>
      <c r="Z17" s="288">
        <v>0.25</v>
      </c>
      <c r="AA17" s="288"/>
      <c r="AB17" s="288"/>
      <c r="AC17" s="288"/>
      <c r="AD17" s="289"/>
      <c r="AE17" s="288"/>
      <c r="AF17" s="571" t="s">
        <v>88</v>
      </c>
      <c r="AG17" s="574">
        <v>2020130010132</v>
      </c>
      <c r="AH17" s="577" t="s">
        <v>89</v>
      </c>
      <c r="AI17" s="61" t="s">
        <v>90</v>
      </c>
      <c r="AJ17" s="28" t="s">
        <v>594</v>
      </c>
      <c r="AK17" s="28" t="s">
        <v>503</v>
      </c>
      <c r="AL17" s="28">
        <v>365</v>
      </c>
      <c r="AM17" s="28" t="s">
        <v>594</v>
      </c>
      <c r="AN17" s="28"/>
      <c r="AO17" s="28"/>
      <c r="AP17" s="28">
        <v>2</v>
      </c>
      <c r="AQ17" s="173">
        <v>0.25</v>
      </c>
      <c r="AR17" s="28">
        <v>2</v>
      </c>
      <c r="AS17" s="173">
        <v>0.5</v>
      </c>
      <c r="AT17" s="27" t="s">
        <v>91</v>
      </c>
      <c r="AU17" s="27" t="s">
        <v>92</v>
      </c>
      <c r="AV17" s="99" t="s">
        <v>134</v>
      </c>
      <c r="AW17" s="82">
        <v>1125000000</v>
      </c>
      <c r="AX17" s="30" t="s">
        <v>506</v>
      </c>
      <c r="AY17" s="30" t="s">
        <v>527</v>
      </c>
      <c r="AZ17" s="88" t="s">
        <v>526</v>
      </c>
      <c r="BA17" s="27" t="s">
        <v>515</v>
      </c>
      <c r="BB17" s="16" t="s">
        <v>595</v>
      </c>
      <c r="BC17" s="27"/>
      <c r="BD17" s="669"/>
      <c r="BE17" s="669"/>
      <c r="BF17" s="672"/>
      <c r="BG17" s="174" t="s">
        <v>694</v>
      </c>
    </row>
    <row r="18" spans="1:59" s="14" customFormat="1" ht="143.25" customHeight="1" x14ac:dyDescent="0.35">
      <c r="A18" s="536"/>
      <c r="B18" s="461"/>
      <c r="C18" s="26"/>
      <c r="D18" s="26"/>
      <c r="E18" s="26"/>
      <c r="F18" s="389"/>
      <c r="G18" s="389"/>
      <c r="H18" s="389"/>
      <c r="I18" s="389"/>
      <c r="J18" s="461"/>
      <c r="K18" s="30" t="s">
        <v>93</v>
      </c>
      <c r="L18" s="29">
        <v>1</v>
      </c>
      <c r="M18" s="391" t="s">
        <v>94</v>
      </c>
      <c r="N18" s="30" t="s">
        <v>94</v>
      </c>
      <c r="O18" s="87">
        <v>16</v>
      </c>
      <c r="P18" s="87">
        <v>4</v>
      </c>
      <c r="Q18" s="87">
        <v>4</v>
      </c>
      <c r="R18" s="8">
        <v>1</v>
      </c>
      <c r="S18" s="8">
        <v>0.25</v>
      </c>
      <c r="T18" s="8">
        <v>0.25</v>
      </c>
      <c r="U18" s="8">
        <v>0.25</v>
      </c>
      <c r="V18" s="8">
        <v>0.25</v>
      </c>
      <c r="W18" s="8"/>
      <c r="X18" s="8">
        <v>1</v>
      </c>
      <c r="Y18" s="8">
        <v>0.5</v>
      </c>
      <c r="Z18" s="8">
        <v>0.25</v>
      </c>
      <c r="AA18" s="8">
        <v>0.25</v>
      </c>
      <c r="AB18" s="8">
        <v>0.5</v>
      </c>
      <c r="AC18" s="8">
        <v>0.5</v>
      </c>
      <c r="AD18" s="8">
        <v>0.65800000000000003</v>
      </c>
      <c r="AE18" s="392">
        <v>0.65800000000000003</v>
      </c>
      <c r="AF18" s="572"/>
      <c r="AG18" s="575"/>
      <c r="AH18" s="578"/>
      <c r="AI18" s="61" t="s">
        <v>95</v>
      </c>
      <c r="AJ18" s="28">
        <v>4</v>
      </c>
      <c r="AK18" s="28" t="s">
        <v>503</v>
      </c>
      <c r="AL18" s="28">
        <v>365</v>
      </c>
      <c r="AM18" s="28">
        <v>4</v>
      </c>
      <c r="AN18" s="28"/>
      <c r="AO18" s="28"/>
      <c r="AP18" s="28">
        <v>1</v>
      </c>
      <c r="AQ18" s="173">
        <v>0.25</v>
      </c>
      <c r="AR18" s="28">
        <v>1</v>
      </c>
      <c r="AS18" s="173">
        <v>0.5</v>
      </c>
      <c r="AT18" s="27" t="s">
        <v>91</v>
      </c>
      <c r="AU18" s="27" t="s">
        <v>92</v>
      </c>
      <c r="AV18" s="99" t="s">
        <v>607</v>
      </c>
      <c r="AW18" s="82">
        <v>780000000</v>
      </c>
      <c r="AX18" s="30" t="s">
        <v>507</v>
      </c>
      <c r="AY18" s="30" t="s">
        <v>527</v>
      </c>
      <c r="AZ18" s="88" t="s">
        <v>526</v>
      </c>
      <c r="BA18" s="27" t="s">
        <v>515</v>
      </c>
      <c r="BB18" s="16" t="s">
        <v>595</v>
      </c>
      <c r="BC18" s="27"/>
      <c r="BD18" s="669"/>
      <c r="BE18" s="669"/>
      <c r="BF18" s="672"/>
      <c r="BG18" s="174" t="s">
        <v>695</v>
      </c>
    </row>
    <row r="19" spans="1:59" s="14" customFormat="1" ht="90.75" customHeight="1" x14ac:dyDescent="0.35">
      <c r="A19" s="536"/>
      <c r="B19" s="461"/>
      <c r="C19" s="26"/>
      <c r="D19" s="26"/>
      <c r="E19" s="26"/>
      <c r="F19" s="389"/>
      <c r="G19" s="389"/>
      <c r="H19" s="389"/>
      <c r="I19" s="389"/>
      <c r="J19" s="461"/>
      <c r="K19" s="551" t="s">
        <v>96</v>
      </c>
      <c r="L19" s="552">
        <v>0.75</v>
      </c>
      <c r="M19" s="512" t="s">
        <v>97</v>
      </c>
      <c r="N19" s="30" t="s">
        <v>97</v>
      </c>
      <c r="O19" s="474">
        <v>0.85</v>
      </c>
      <c r="P19" s="271">
        <v>0.75</v>
      </c>
      <c r="Q19" s="271">
        <v>0.52</v>
      </c>
      <c r="R19" s="8">
        <v>0.75</v>
      </c>
      <c r="S19" s="8">
        <v>0</v>
      </c>
      <c r="T19" s="8">
        <v>0</v>
      </c>
      <c r="U19" s="8">
        <v>0</v>
      </c>
      <c r="V19" s="8">
        <v>0.87</v>
      </c>
      <c r="W19" s="8"/>
      <c r="X19" s="513">
        <v>0.75</v>
      </c>
      <c r="Y19" s="513">
        <v>0.87</v>
      </c>
      <c r="Z19" s="513">
        <v>0.93</v>
      </c>
      <c r="AA19" s="513"/>
      <c r="AB19" s="513">
        <f>+Z19</f>
        <v>0.93</v>
      </c>
      <c r="AC19" s="513">
        <v>1</v>
      </c>
      <c r="AD19" s="513">
        <f>+AC19</f>
        <v>1</v>
      </c>
      <c r="AE19" s="513">
        <v>1</v>
      </c>
      <c r="AF19" s="572"/>
      <c r="AG19" s="575"/>
      <c r="AH19" s="578"/>
      <c r="AI19" s="61" t="s">
        <v>98</v>
      </c>
      <c r="AJ19" s="28">
        <v>2</v>
      </c>
      <c r="AK19" s="28" t="s">
        <v>503</v>
      </c>
      <c r="AL19" s="28">
        <v>365</v>
      </c>
      <c r="AM19" s="28">
        <v>2</v>
      </c>
      <c r="AN19" s="28"/>
      <c r="AO19" s="28"/>
      <c r="AP19" s="28">
        <v>1</v>
      </c>
      <c r="AQ19" s="173">
        <v>0.5</v>
      </c>
      <c r="AR19" s="28">
        <v>0</v>
      </c>
      <c r="AS19" s="173">
        <v>0.5</v>
      </c>
      <c r="AT19" s="27" t="s">
        <v>91</v>
      </c>
      <c r="AU19" s="27" t="s">
        <v>92</v>
      </c>
      <c r="AV19" s="99" t="s">
        <v>520</v>
      </c>
      <c r="AW19" s="82">
        <v>200000000</v>
      </c>
      <c r="AX19" s="30" t="s">
        <v>518</v>
      </c>
      <c r="AY19" s="30" t="s">
        <v>527</v>
      </c>
      <c r="AZ19" s="88" t="s">
        <v>526</v>
      </c>
      <c r="BA19" s="27" t="s">
        <v>515</v>
      </c>
      <c r="BB19" s="16" t="s">
        <v>595</v>
      </c>
      <c r="BC19" s="27"/>
      <c r="BD19" s="669"/>
      <c r="BE19" s="669"/>
      <c r="BF19" s="672"/>
      <c r="BG19" s="174" t="s">
        <v>721</v>
      </c>
    </row>
    <row r="20" spans="1:59" s="14" customFormat="1" ht="56.25" customHeight="1" x14ac:dyDescent="0.35">
      <c r="A20" s="536"/>
      <c r="B20" s="461"/>
      <c r="C20" s="26"/>
      <c r="D20" s="26"/>
      <c r="E20" s="26"/>
      <c r="F20" s="389"/>
      <c r="G20" s="389"/>
      <c r="H20" s="389"/>
      <c r="I20" s="389"/>
      <c r="J20" s="461"/>
      <c r="K20" s="551"/>
      <c r="L20" s="552"/>
      <c r="M20" s="512"/>
      <c r="N20" s="30"/>
      <c r="O20" s="474"/>
      <c r="P20" s="30"/>
      <c r="Q20" s="30"/>
      <c r="R20" s="30"/>
      <c r="S20" s="30"/>
      <c r="T20" s="30"/>
      <c r="U20" s="30"/>
      <c r="V20" s="30"/>
      <c r="W20" s="30"/>
      <c r="X20" s="513"/>
      <c r="Y20" s="513"/>
      <c r="Z20" s="513"/>
      <c r="AA20" s="513"/>
      <c r="AB20" s="513"/>
      <c r="AC20" s="513"/>
      <c r="AD20" s="513"/>
      <c r="AE20" s="513"/>
      <c r="AF20" s="572"/>
      <c r="AG20" s="575"/>
      <c r="AH20" s="578"/>
      <c r="AI20" s="61" t="s">
        <v>99</v>
      </c>
      <c r="AJ20" s="28">
        <v>1</v>
      </c>
      <c r="AK20" s="28" t="s">
        <v>503</v>
      </c>
      <c r="AL20" s="28">
        <v>365</v>
      </c>
      <c r="AM20" s="28">
        <v>1</v>
      </c>
      <c r="AN20" s="28"/>
      <c r="AO20" s="28"/>
      <c r="AP20" s="28">
        <v>0</v>
      </c>
      <c r="AQ20" s="173">
        <v>0</v>
      </c>
      <c r="AR20" s="28">
        <v>0</v>
      </c>
      <c r="AS20" s="173">
        <v>0</v>
      </c>
      <c r="AT20" s="27" t="s">
        <v>91</v>
      </c>
      <c r="AU20" s="27" t="s">
        <v>92</v>
      </c>
      <c r="AV20" s="27"/>
      <c r="AW20" s="82"/>
      <c r="AX20" s="30"/>
      <c r="AY20" s="30"/>
      <c r="AZ20" s="27"/>
      <c r="BA20" s="27" t="s">
        <v>593</v>
      </c>
      <c r="BB20" s="16"/>
      <c r="BC20" s="27"/>
      <c r="BD20" s="669"/>
      <c r="BE20" s="669"/>
      <c r="BF20" s="672"/>
      <c r="BG20" s="27"/>
    </row>
    <row r="21" spans="1:59" s="14" customFormat="1" ht="29" x14ac:dyDescent="0.35">
      <c r="A21" s="536"/>
      <c r="B21" s="461"/>
      <c r="C21" s="26"/>
      <c r="D21" s="26"/>
      <c r="E21" s="26"/>
      <c r="F21" s="389"/>
      <c r="G21" s="389"/>
      <c r="H21" s="389"/>
      <c r="I21" s="389"/>
      <c r="J21" s="461"/>
      <c r="K21" s="551"/>
      <c r="L21" s="552"/>
      <c r="M21" s="512"/>
      <c r="N21" s="30"/>
      <c r="O21" s="474"/>
      <c r="P21" s="30"/>
      <c r="Q21" s="30"/>
      <c r="R21" s="30"/>
      <c r="S21" s="30"/>
      <c r="T21" s="30"/>
      <c r="U21" s="30"/>
      <c r="V21" s="30"/>
      <c r="W21" s="30"/>
      <c r="X21" s="513"/>
      <c r="Y21" s="513"/>
      <c r="Z21" s="513"/>
      <c r="AA21" s="513"/>
      <c r="AB21" s="513"/>
      <c r="AC21" s="513"/>
      <c r="AD21" s="513"/>
      <c r="AE21" s="513"/>
      <c r="AF21" s="573"/>
      <c r="AG21" s="576"/>
      <c r="AH21" s="579"/>
      <c r="AI21" s="61" t="s">
        <v>100</v>
      </c>
      <c r="AJ21" s="28">
        <v>4</v>
      </c>
      <c r="AK21" s="28" t="s">
        <v>503</v>
      </c>
      <c r="AL21" s="28">
        <v>365</v>
      </c>
      <c r="AM21" s="28">
        <v>4</v>
      </c>
      <c r="AN21" s="28"/>
      <c r="AO21" s="28"/>
      <c r="AP21" s="28">
        <v>1</v>
      </c>
      <c r="AQ21" s="173">
        <v>0.25</v>
      </c>
      <c r="AR21" s="28">
        <v>1</v>
      </c>
      <c r="AS21" s="173">
        <v>0.5</v>
      </c>
      <c r="AT21" s="27" t="s">
        <v>91</v>
      </c>
      <c r="AU21" s="27" t="s">
        <v>92</v>
      </c>
      <c r="AV21" s="27"/>
      <c r="AW21" s="82"/>
      <c r="AX21" s="30"/>
      <c r="AY21" s="30"/>
      <c r="AZ21" s="27"/>
      <c r="BA21" s="27" t="s">
        <v>593</v>
      </c>
      <c r="BB21" s="16"/>
      <c r="BC21" s="27"/>
      <c r="BD21" s="669"/>
      <c r="BE21" s="669"/>
      <c r="BF21" s="672"/>
      <c r="BG21" s="174" t="s">
        <v>696</v>
      </c>
    </row>
    <row r="22" spans="1:59" s="14" customFormat="1" ht="39" customHeight="1" x14ac:dyDescent="0.35">
      <c r="A22" s="536"/>
      <c r="B22" s="461"/>
      <c r="C22" s="26"/>
      <c r="D22" s="26"/>
      <c r="E22" s="26"/>
      <c r="F22" s="389"/>
      <c r="G22" s="389"/>
      <c r="H22" s="389"/>
      <c r="I22" s="389"/>
      <c r="J22" s="461"/>
      <c r="K22" s="27"/>
      <c r="L22" s="29"/>
      <c r="M22" s="424"/>
      <c r="N22" s="30"/>
      <c r="O22" s="173"/>
      <c r="P22" s="30"/>
      <c r="Q22" s="30"/>
      <c r="R22" s="30"/>
      <c r="S22" s="30"/>
      <c r="T22" s="30"/>
      <c r="U22" s="30"/>
      <c r="V22" s="30"/>
      <c r="W22" s="30"/>
      <c r="X22" s="8"/>
      <c r="Y22" s="8"/>
      <c r="Z22" s="8"/>
      <c r="AA22" s="8"/>
      <c r="AB22" s="8"/>
      <c r="AC22" s="8"/>
      <c r="AD22" s="8"/>
      <c r="AE22" s="8"/>
      <c r="AF22" s="580" t="s">
        <v>88</v>
      </c>
      <c r="AG22" s="581"/>
      <c r="AH22" s="581"/>
      <c r="AI22" s="581"/>
      <c r="AJ22" s="581"/>
      <c r="AK22" s="581"/>
      <c r="AL22" s="581"/>
      <c r="AM22" s="581"/>
      <c r="AN22" s="581"/>
      <c r="AO22" s="581"/>
      <c r="AP22" s="581"/>
      <c r="AQ22" s="581"/>
      <c r="AR22" s="582"/>
      <c r="AS22" s="425">
        <f>AVERAGE(AS17:AS21)</f>
        <v>0.4</v>
      </c>
      <c r="AT22" s="27"/>
      <c r="AU22" s="27"/>
      <c r="AV22" s="27"/>
      <c r="AW22" s="82"/>
      <c r="AX22" s="30"/>
      <c r="AY22" s="30"/>
      <c r="AZ22" s="27"/>
      <c r="BA22" s="27"/>
      <c r="BB22" s="16"/>
      <c r="BC22" s="27"/>
      <c r="BD22" s="669"/>
      <c r="BE22" s="669"/>
      <c r="BF22" s="672"/>
      <c r="BG22" s="174"/>
    </row>
    <row r="23" spans="1:59" s="14" customFormat="1" ht="62.25" customHeight="1" x14ac:dyDescent="0.35">
      <c r="A23" s="536"/>
      <c r="B23" s="461"/>
      <c r="C23" s="26"/>
      <c r="D23" s="26"/>
      <c r="E23" s="26"/>
      <c r="F23" s="389"/>
      <c r="G23" s="389"/>
      <c r="H23" s="389"/>
      <c r="I23" s="389"/>
      <c r="J23" s="461"/>
      <c r="K23" s="244" t="s">
        <v>105</v>
      </c>
      <c r="L23" s="244">
        <v>0</v>
      </c>
      <c r="M23" s="320" t="s">
        <v>106</v>
      </c>
      <c r="N23" s="244" t="s">
        <v>106</v>
      </c>
      <c r="O23" s="272">
        <v>4</v>
      </c>
      <c r="P23" s="272">
        <v>1</v>
      </c>
      <c r="Q23" s="272">
        <v>0</v>
      </c>
      <c r="R23" s="272">
        <v>1</v>
      </c>
      <c r="S23" s="272">
        <v>0</v>
      </c>
      <c r="T23" s="272">
        <v>0</v>
      </c>
      <c r="U23" s="272">
        <v>0</v>
      </c>
      <c r="V23" s="272">
        <v>0</v>
      </c>
      <c r="W23" s="272"/>
      <c r="X23" s="272">
        <v>1</v>
      </c>
      <c r="Y23" s="272">
        <v>0</v>
      </c>
      <c r="Z23" s="272">
        <v>0</v>
      </c>
      <c r="AA23" s="272">
        <v>1</v>
      </c>
      <c r="AB23" s="272">
        <f>+AA23</f>
        <v>1</v>
      </c>
      <c r="AC23" s="273">
        <v>1</v>
      </c>
      <c r="AD23" s="272">
        <v>1</v>
      </c>
      <c r="AE23" s="299">
        <v>0.25</v>
      </c>
      <c r="AF23" s="540" t="s">
        <v>107</v>
      </c>
      <c r="AG23" s="541">
        <v>2020130010063</v>
      </c>
      <c r="AH23" s="542" t="s">
        <v>108</v>
      </c>
      <c r="AI23" s="32" t="s">
        <v>604</v>
      </c>
      <c r="AJ23" s="31">
        <v>1</v>
      </c>
      <c r="AK23" s="31" t="s">
        <v>503</v>
      </c>
      <c r="AL23" s="31">
        <v>365</v>
      </c>
      <c r="AM23" s="31">
        <v>1</v>
      </c>
      <c r="AN23" s="32"/>
      <c r="AO23" s="32"/>
      <c r="AP23" s="32">
        <v>0</v>
      </c>
      <c r="AQ23" s="175">
        <v>0</v>
      </c>
      <c r="AR23" s="32">
        <v>1</v>
      </c>
      <c r="AS23" s="175">
        <v>1</v>
      </c>
      <c r="AT23" s="31" t="s">
        <v>109</v>
      </c>
      <c r="AU23" s="31" t="s">
        <v>110</v>
      </c>
      <c r="AV23" s="32" t="s">
        <v>134</v>
      </c>
      <c r="AW23" s="155">
        <v>100000000</v>
      </c>
      <c r="AX23" s="32" t="s">
        <v>506</v>
      </c>
      <c r="AY23" s="32" t="s">
        <v>525</v>
      </c>
      <c r="AZ23" s="31" t="s">
        <v>524</v>
      </c>
      <c r="BA23" s="32" t="s">
        <v>515</v>
      </c>
      <c r="BB23" s="156" t="s">
        <v>608</v>
      </c>
      <c r="BC23" s="31"/>
      <c r="BD23" s="669"/>
      <c r="BE23" s="669"/>
      <c r="BF23" s="672"/>
      <c r="BG23" s="393" t="s">
        <v>722</v>
      </c>
    </row>
    <row r="24" spans="1:59" s="14" customFormat="1" ht="93.75" customHeight="1" x14ac:dyDescent="0.35">
      <c r="A24" s="536"/>
      <c r="B24" s="461"/>
      <c r="C24" s="26"/>
      <c r="D24" s="26"/>
      <c r="E24" s="26"/>
      <c r="F24" s="389"/>
      <c r="G24" s="389"/>
      <c r="H24" s="389"/>
      <c r="I24" s="389"/>
      <c r="J24" s="461"/>
      <c r="K24" s="543" t="s">
        <v>111</v>
      </c>
      <c r="L24" s="542" t="s">
        <v>112</v>
      </c>
      <c r="M24" s="544" t="s">
        <v>113</v>
      </c>
      <c r="N24" s="542" t="s">
        <v>113</v>
      </c>
      <c r="O24" s="553">
        <v>0.4</v>
      </c>
      <c r="P24" s="272">
        <v>0.1</v>
      </c>
      <c r="Q24" s="272">
        <v>0.12</v>
      </c>
      <c r="R24" s="272">
        <v>0.1</v>
      </c>
      <c r="S24" s="272">
        <v>0</v>
      </c>
      <c r="T24" s="272">
        <v>3.5000000000000003E-2</v>
      </c>
      <c r="U24" s="272">
        <v>8.5000000000000006E-2</v>
      </c>
      <c r="V24" s="272">
        <v>0.93</v>
      </c>
      <c r="W24" s="272"/>
      <c r="X24" s="553">
        <v>0.1</v>
      </c>
      <c r="Y24" s="562">
        <v>0.39</v>
      </c>
      <c r="Z24" s="553">
        <v>0</v>
      </c>
      <c r="AA24" s="499">
        <v>3</v>
      </c>
      <c r="AB24" s="499">
        <f>+AA24</f>
        <v>3</v>
      </c>
      <c r="AC24" s="500">
        <v>1</v>
      </c>
      <c r="AD24" s="500">
        <v>0.4</v>
      </c>
      <c r="AE24" s="501">
        <v>1</v>
      </c>
      <c r="AF24" s="540"/>
      <c r="AG24" s="541"/>
      <c r="AH24" s="542"/>
      <c r="AI24" s="32" t="s">
        <v>114</v>
      </c>
      <c r="AJ24" s="33">
        <v>1</v>
      </c>
      <c r="AK24" s="31" t="s">
        <v>503</v>
      </c>
      <c r="AL24" s="31">
        <v>365</v>
      </c>
      <c r="AM24" s="33">
        <v>1</v>
      </c>
      <c r="AN24" s="32"/>
      <c r="AO24" s="32"/>
      <c r="AP24" s="32" t="s">
        <v>731</v>
      </c>
      <c r="AQ24" s="175">
        <v>0.25</v>
      </c>
      <c r="AR24" s="32" t="s">
        <v>730</v>
      </c>
      <c r="AS24" s="175">
        <v>0.5</v>
      </c>
      <c r="AT24" s="31" t="s">
        <v>109</v>
      </c>
      <c r="AU24" s="31" t="s">
        <v>110</v>
      </c>
      <c r="AV24" s="32" t="s">
        <v>607</v>
      </c>
      <c r="AW24" s="155">
        <v>420000000</v>
      </c>
      <c r="AX24" s="32" t="s">
        <v>507</v>
      </c>
      <c r="AY24" s="32" t="s">
        <v>525</v>
      </c>
      <c r="AZ24" s="31" t="s">
        <v>524</v>
      </c>
      <c r="BA24" s="32" t="s">
        <v>515</v>
      </c>
      <c r="BB24" s="156" t="s">
        <v>608</v>
      </c>
      <c r="BC24" s="31"/>
      <c r="BD24" s="669"/>
      <c r="BE24" s="669"/>
      <c r="BF24" s="672"/>
      <c r="BG24" s="393" t="s">
        <v>723</v>
      </c>
    </row>
    <row r="25" spans="1:59" s="14" customFormat="1" ht="85.5" customHeight="1" x14ac:dyDescent="0.35">
      <c r="A25" s="536"/>
      <c r="B25" s="461"/>
      <c r="C25" s="26"/>
      <c r="D25" s="26"/>
      <c r="E25" s="26"/>
      <c r="F25" s="389"/>
      <c r="G25" s="389"/>
      <c r="H25" s="389"/>
      <c r="I25" s="389"/>
      <c r="J25" s="461"/>
      <c r="K25" s="543"/>
      <c r="L25" s="542"/>
      <c r="M25" s="544"/>
      <c r="N25" s="542"/>
      <c r="O25" s="553"/>
      <c r="P25" s="272"/>
      <c r="Q25" s="272"/>
      <c r="R25" s="272"/>
      <c r="S25" s="272"/>
      <c r="T25" s="272"/>
      <c r="U25" s="272"/>
      <c r="V25" s="272"/>
      <c r="W25" s="272"/>
      <c r="X25" s="553"/>
      <c r="Y25" s="553"/>
      <c r="Z25" s="553"/>
      <c r="AA25" s="499"/>
      <c r="AB25" s="499"/>
      <c r="AC25" s="499"/>
      <c r="AD25" s="499"/>
      <c r="AE25" s="502"/>
      <c r="AF25" s="540"/>
      <c r="AG25" s="541"/>
      <c r="AH25" s="542"/>
      <c r="AI25" s="32" t="s">
        <v>605</v>
      </c>
      <c r="AJ25" s="31">
        <v>2</v>
      </c>
      <c r="AK25" s="31" t="s">
        <v>503</v>
      </c>
      <c r="AL25" s="31">
        <v>365</v>
      </c>
      <c r="AM25" s="31">
        <v>2</v>
      </c>
      <c r="AN25" s="32"/>
      <c r="AO25" s="32"/>
      <c r="AP25" s="32">
        <v>0</v>
      </c>
      <c r="AQ25" s="175">
        <v>0</v>
      </c>
      <c r="AR25" s="32">
        <v>0</v>
      </c>
      <c r="AS25" s="175">
        <v>0</v>
      </c>
      <c r="AT25" s="31" t="s">
        <v>109</v>
      </c>
      <c r="AU25" s="31" t="s">
        <v>110</v>
      </c>
      <c r="AV25" s="31"/>
      <c r="AW25" s="157"/>
      <c r="AX25" s="32"/>
      <c r="AY25" s="32"/>
      <c r="AZ25" s="31"/>
      <c r="BA25" s="32" t="s">
        <v>515</v>
      </c>
      <c r="BB25" s="156" t="s">
        <v>608</v>
      </c>
      <c r="BC25" s="31"/>
      <c r="BD25" s="669"/>
      <c r="BE25" s="669"/>
      <c r="BF25" s="672"/>
      <c r="BG25" s="393" t="s">
        <v>724</v>
      </c>
    </row>
    <row r="26" spans="1:59" s="14" customFormat="1" ht="71.25" customHeight="1" x14ac:dyDescent="0.35">
      <c r="A26" s="536"/>
      <c r="B26" s="461"/>
      <c r="C26" s="26"/>
      <c r="D26" s="26"/>
      <c r="E26" s="26"/>
      <c r="F26" s="389"/>
      <c r="G26" s="389"/>
      <c r="H26" s="389"/>
      <c r="I26" s="389"/>
      <c r="J26" s="461"/>
      <c r="K26" s="543"/>
      <c r="L26" s="542"/>
      <c r="M26" s="544"/>
      <c r="N26" s="542"/>
      <c r="O26" s="553"/>
      <c r="P26" s="272"/>
      <c r="Q26" s="272"/>
      <c r="R26" s="272"/>
      <c r="S26" s="272"/>
      <c r="T26" s="272"/>
      <c r="U26" s="272"/>
      <c r="V26" s="272"/>
      <c r="W26" s="272"/>
      <c r="X26" s="553"/>
      <c r="Y26" s="553"/>
      <c r="Z26" s="553"/>
      <c r="AA26" s="499"/>
      <c r="AB26" s="499"/>
      <c r="AC26" s="499"/>
      <c r="AD26" s="499"/>
      <c r="AE26" s="502"/>
      <c r="AF26" s="540"/>
      <c r="AG26" s="541"/>
      <c r="AH26" s="542"/>
      <c r="AI26" s="32" t="s">
        <v>115</v>
      </c>
      <c r="AJ26" s="33">
        <v>0.1</v>
      </c>
      <c r="AK26" s="31" t="s">
        <v>503</v>
      </c>
      <c r="AL26" s="31">
        <v>365</v>
      </c>
      <c r="AM26" s="33">
        <v>0.1</v>
      </c>
      <c r="AN26" s="32"/>
      <c r="AO26" s="32"/>
      <c r="AP26" s="32">
        <v>0</v>
      </c>
      <c r="AQ26" s="175">
        <v>0</v>
      </c>
      <c r="AR26" s="427">
        <v>0.03</v>
      </c>
      <c r="AS26" s="175">
        <f>+AR26/AJ26</f>
        <v>0.3</v>
      </c>
      <c r="AT26" s="31" t="s">
        <v>109</v>
      </c>
      <c r="AU26" s="31" t="s">
        <v>110</v>
      </c>
      <c r="AV26" s="31"/>
      <c r="AW26" s="157"/>
      <c r="AX26" s="32"/>
      <c r="AY26" s="32"/>
      <c r="AZ26" s="31"/>
      <c r="BA26" s="32" t="s">
        <v>515</v>
      </c>
      <c r="BB26" s="156" t="s">
        <v>608</v>
      </c>
      <c r="BC26" s="31"/>
      <c r="BD26" s="669"/>
      <c r="BE26" s="669"/>
      <c r="BF26" s="672"/>
      <c r="BG26" s="393" t="s">
        <v>725</v>
      </c>
    </row>
    <row r="27" spans="1:59" s="14" customFormat="1" ht="77.25" customHeight="1" x14ac:dyDescent="0.35">
      <c r="A27" s="536"/>
      <c r="B27" s="461"/>
      <c r="C27" s="26"/>
      <c r="D27" s="26"/>
      <c r="E27" s="26"/>
      <c r="F27" s="389"/>
      <c r="G27" s="389"/>
      <c r="H27" s="389"/>
      <c r="I27" s="389"/>
      <c r="J27" s="461"/>
      <c r="K27" s="543"/>
      <c r="L27" s="542"/>
      <c r="M27" s="544"/>
      <c r="N27" s="542"/>
      <c r="O27" s="553"/>
      <c r="P27" s="272"/>
      <c r="Q27" s="272"/>
      <c r="R27" s="272"/>
      <c r="S27" s="272"/>
      <c r="T27" s="272"/>
      <c r="U27" s="272"/>
      <c r="V27" s="272"/>
      <c r="W27" s="272"/>
      <c r="X27" s="553"/>
      <c r="Y27" s="553"/>
      <c r="Z27" s="553"/>
      <c r="AA27" s="499"/>
      <c r="AB27" s="499"/>
      <c r="AC27" s="499"/>
      <c r="AD27" s="499"/>
      <c r="AE27" s="502"/>
      <c r="AF27" s="540"/>
      <c r="AG27" s="541"/>
      <c r="AH27" s="542"/>
      <c r="AI27" s="32" t="s">
        <v>116</v>
      </c>
      <c r="AJ27" s="33">
        <v>0.25</v>
      </c>
      <c r="AK27" s="31" t="s">
        <v>503</v>
      </c>
      <c r="AL27" s="31">
        <v>365</v>
      </c>
      <c r="AM27" s="33">
        <v>0.25</v>
      </c>
      <c r="AN27" s="32"/>
      <c r="AO27" s="32"/>
      <c r="AP27" s="32">
        <v>8</v>
      </c>
      <c r="AQ27" s="175">
        <v>0.02</v>
      </c>
      <c r="AR27" s="31">
        <v>17</v>
      </c>
      <c r="AS27" s="33">
        <v>7.0000000000000007E-2</v>
      </c>
      <c r="AT27" s="31" t="s">
        <v>109</v>
      </c>
      <c r="AU27" s="31" t="s">
        <v>110</v>
      </c>
      <c r="AV27" s="31"/>
      <c r="AW27" s="157"/>
      <c r="AX27" s="32"/>
      <c r="AY27" s="32"/>
      <c r="AZ27" s="31"/>
      <c r="BA27" s="32" t="s">
        <v>515</v>
      </c>
      <c r="BB27" s="156" t="s">
        <v>608</v>
      </c>
      <c r="BC27" s="31"/>
      <c r="BD27" s="669"/>
      <c r="BE27" s="669"/>
      <c r="BF27" s="672"/>
      <c r="BG27" s="393" t="s">
        <v>726</v>
      </c>
    </row>
    <row r="28" spans="1:59" s="14" customFormat="1" ht="120" customHeight="1" x14ac:dyDescent="0.35">
      <c r="A28" s="536"/>
      <c r="B28" s="461"/>
      <c r="C28" s="26"/>
      <c r="D28" s="26"/>
      <c r="E28" s="26"/>
      <c r="F28" s="389"/>
      <c r="G28" s="389"/>
      <c r="H28" s="389"/>
      <c r="I28" s="389"/>
      <c r="J28" s="461"/>
      <c r="K28" s="543"/>
      <c r="L28" s="542"/>
      <c r="M28" s="544"/>
      <c r="N28" s="542"/>
      <c r="O28" s="553"/>
      <c r="P28" s="272"/>
      <c r="Q28" s="272"/>
      <c r="R28" s="272"/>
      <c r="S28" s="272"/>
      <c r="T28" s="272"/>
      <c r="U28" s="272"/>
      <c r="V28" s="272"/>
      <c r="W28" s="272"/>
      <c r="X28" s="553"/>
      <c r="Y28" s="553"/>
      <c r="Z28" s="553"/>
      <c r="AA28" s="499"/>
      <c r="AB28" s="499"/>
      <c r="AC28" s="499"/>
      <c r="AD28" s="499"/>
      <c r="AE28" s="502"/>
      <c r="AF28" s="540"/>
      <c r="AG28" s="541"/>
      <c r="AH28" s="542"/>
      <c r="AI28" s="32" t="s">
        <v>117</v>
      </c>
      <c r="AJ28" s="31">
        <v>30</v>
      </c>
      <c r="AK28" s="31" t="s">
        <v>503</v>
      </c>
      <c r="AL28" s="31">
        <v>365</v>
      </c>
      <c r="AM28" s="31">
        <v>30</v>
      </c>
      <c r="AN28" s="32"/>
      <c r="AO28" s="32"/>
      <c r="AP28" s="32">
        <v>25</v>
      </c>
      <c r="AQ28" s="175">
        <v>0.83</v>
      </c>
      <c r="AR28" s="32">
        <v>0</v>
      </c>
      <c r="AS28" s="175">
        <f>+AP28/AJ28</f>
        <v>0.83333333333333337</v>
      </c>
      <c r="AT28" s="31" t="s">
        <v>109</v>
      </c>
      <c r="AU28" s="31" t="s">
        <v>110</v>
      </c>
      <c r="AV28" s="31"/>
      <c r="AW28" s="157"/>
      <c r="AX28" s="32"/>
      <c r="AY28" s="32"/>
      <c r="AZ28" s="31"/>
      <c r="BA28" s="32" t="s">
        <v>593</v>
      </c>
      <c r="BB28" s="156"/>
      <c r="BC28" s="31"/>
      <c r="BD28" s="669"/>
      <c r="BE28" s="669"/>
      <c r="BF28" s="672"/>
      <c r="BG28" s="393" t="s">
        <v>727</v>
      </c>
    </row>
    <row r="29" spans="1:59" s="14" customFormat="1" ht="67.5" customHeight="1" x14ac:dyDescent="0.35">
      <c r="A29" s="536"/>
      <c r="B29" s="461"/>
      <c r="C29" s="26"/>
      <c r="D29" s="26"/>
      <c r="E29" s="26"/>
      <c r="F29" s="389"/>
      <c r="G29" s="389"/>
      <c r="H29" s="389"/>
      <c r="I29" s="389"/>
      <c r="J29" s="461"/>
      <c r="K29" s="543"/>
      <c r="L29" s="542"/>
      <c r="M29" s="544"/>
      <c r="N29" s="542"/>
      <c r="O29" s="553"/>
      <c r="P29" s="272"/>
      <c r="Q29" s="272"/>
      <c r="R29" s="272"/>
      <c r="S29" s="272"/>
      <c r="T29" s="272"/>
      <c r="U29" s="272"/>
      <c r="V29" s="272"/>
      <c r="W29" s="272"/>
      <c r="X29" s="553"/>
      <c r="Y29" s="553"/>
      <c r="Z29" s="553"/>
      <c r="AA29" s="499"/>
      <c r="AB29" s="499"/>
      <c r="AC29" s="499"/>
      <c r="AD29" s="499"/>
      <c r="AE29" s="502"/>
      <c r="AF29" s="540"/>
      <c r="AG29" s="541"/>
      <c r="AH29" s="542"/>
      <c r="AI29" s="32" t="s">
        <v>118</v>
      </c>
      <c r="AJ29" s="31">
        <v>60</v>
      </c>
      <c r="AK29" s="31" t="s">
        <v>503</v>
      </c>
      <c r="AL29" s="31">
        <v>365</v>
      </c>
      <c r="AM29" s="31">
        <v>60</v>
      </c>
      <c r="AN29" s="32"/>
      <c r="AO29" s="32"/>
      <c r="AP29" s="32">
        <v>12</v>
      </c>
      <c r="AQ29" s="175">
        <v>0.13</v>
      </c>
      <c r="AR29" s="31">
        <v>12</v>
      </c>
      <c r="AS29" s="33">
        <v>0.4</v>
      </c>
      <c r="AT29" s="31" t="s">
        <v>109</v>
      </c>
      <c r="AU29" s="31" t="s">
        <v>110</v>
      </c>
      <c r="AV29" s="31"/>
      <c r="AW29" s="157"/>
      <c r="AX29" s="32"/>
      <c r="AY29" s="32"/>
      <c r="AZ29" s="31"/>
      <c r="BA29" s="32" t="s">
        <v>515</v>
      </c>
      <c r="BB29" s="156" t="s">
        <v>608</v>
      </c>
      <c r="BC29" s="31"/>
      <c r="BD29" s="669"/>
      <c r="BE29" s="669"/>
      <c r="BF29" s="672"/>
      <c r="BG29" s="393" t="s">
        <v>728</v>
      </c>
    </row>
    <row r="30" spans="1:59" s="14" customFormat="1" ht="80.25" customHeight="1" x14ac:dyDescent="0.35">
      <c r="A30" s="536"/>
      <c r="B30" s="461"/>
      <c r="C30" s="26"/>
      <c r="D30" s="26"/>
      <c r="E30" s="26"/>
      <c r="F30" s="389"/>
      <c r="G30" s="389"/>
      <c r="H30" s="389"/>
      <c r="I30" s="389"/>
      <c r="J30" s="461"/>
      <c r="K30" s="543"/>
      <c r="L30" s="542"/>
      <c r="M30" s="544"/>
      <c r="N30" s="542"/>
      <c r="O30" s="553"/>
      <c r="P30" s="272"/>
      <c r="Q30" s="272"/>
      <c r="R30" s="272"/>
      <c r="S30" s="272"/>
      <c r="T30" s="272"/>
      <c r="U30" s="272"/>
      <c r="V30" s="272"/>
      <c r="W30" s="272"/>
      <c r="X30" s="553"/>
      <c r="Y30" s="553"/>
      <c r="Z30" s="553"/>
      <c r="AA30" s="499"/>
      <c r="AB30" s="499"/>
      <c r="AC30" s="499"/>
      <c r="AD30" s="499"/>
      <c r="AE30" s="502"/>
      <c r="AF30" s="540"/>
      <c r="AG30" s="541"/>
      <c r="AH30" s="542"/>
      <c r="AI30" s="32" t="s">
        <v>119</v>
      </c>
      <c r="AJ30" s="31">
        <v>15</v>
      </c>
      <c r="AK30" s="31" t="s">
        <v>503</v>
      </c>
      <c r="AL30" s="31">
        <v>365</v>
      </c>
      <c r="AM30" s="31">
        <v>15</v>
      </c>
      <c r="AN30" s="32"/>
      <c r="AO30" s="32"/>
      <c r="AP30" s="32">
        <v>4</v>
      </c>
      <c r="AQ30" s="175">
        <v>0.27</v>
      </c>
      <c r="AR30" s="31">
        <v>9</v>
      </c>
      <c r="AS30" s="33">
        <f>+(AP30+AR30)/AJ30</f>
        <v>0.8666666666666667</v>
      </c>
      <c r="AT30" s="31" t="s">
        <v>109</v>
      </c>
      <c r="AU30" s="31" t="s">
        <v>110</v>
      </c>
      <c r="AV30" s="31"/>
      <c r="AW30" s="157"/>
      <c r="AX30" s="32"/>
      <c r="AY30" s="32"/>
      <c r="AZ30" s="31"/>
      <c r="BA30" s="32" t="s">
        <v>515</v>
      </c>
      <c r="BB30" s="156" t="s">
        <v>608</v>
      </c>
      <c r="BC30" s="31"/>
      <c r="BD30" s="669"/>
      <c r="BE30" s="669"/>
      <c r="BF30" s="672"/>
      <c r="BG30" s="393" t="s">
        <v>729</v>
      </c>
    </row>
    <row r="31" spans="1:59" s="14" customFormat="1" ht="86.25" customHeight="1" x14ac:dyDescent="0.35">
      <c r="A31" s="536"/>
      <c r="B31" s="461"/>
      <c r="C31" s="26"/>
      <c r="D31" s="26"/>
      <c r="E31" s="26"/>
      <c r="F31" s="389"/>
      <c r="G31" s="389"/>
      <c r="H31" s="389"/>
      <c r="I31" s="389"/>
      <c r="J31" s="461"/>
      <c r="K31" s="543"/>
      <c r="L31" s="542"/>
      <c r="M31" s="544"/>
      <c r="N31" s="542"/>
      <c r="O31" s="553"/>
      <c r="P31" s="272"/>
      <c r="Q31" s="272"/>
      <c r="R31" s="272"/>
      <c r="S31" s="272"/>
      <c r="T31" s="272"/>
      <c r="U31" s="272"/>
      <c r="V31" s="272"/>
      <c r="W31" s="272"/>
      <c r="X31" s="553"/>
      <c r="Y31" s="553"/>
      <c r="Z31" s="553"/>
      <c r="AA31" s="499"/>
      <c r="AB31" s="499"/>
      <c r="AC31" s="499"/>
      <c r="AD31" s="499"/>
      <c r="AE31" s="502"/>
      <c r="AF31" s="540"/>
      <c r="AG31" s="541"/>
      <c r="AH31" s="542"/>
      <c r="AI31" s="32" t="s">
        <v>606</v>
      </c>
      <c r="AJ31" s="33">
        <v>1</v>
      </c>
      <c r="AK31" s="31" t="s">
        <v>503</v>
      </c>
      <c r="AL31" s="31">
        <v>365</v>
      </c>
      <c r="AM31" s="33">
        <v>1</v>
      </c>
      <c r="AN31" s="32"/>
      <c r="AO31" s="32"/>
      <c r="AP31" s="32">
        <v>4</v>
      </c>
      <c r="AQ31" s="175">
        <v>0.27</v>
      </c>
      <c r="AR31" s="31">
        <v>9</v>
      </c>
      <c r="AS31" s="33">
        <v>0.6</v>
      </c>
      <c r="AT31" s="31" t="s">
        <v>109</v>
      </c>
      <c r="AU31" s="31" t="s">
        <v>110</v>
      </c>
      <c r="AV31" s="31"/>
      <c r="AW31" s="157"/>
      <c r="AX31" s="32"/>
      <c r="AY31" s="32"/>
      <c r="AZ31" s="31"/>
      <c r="BA31" s="32" t="s">
        <v>515</v>
      </c>
      <c r="BB31" s="156" t="s">
        <v>608</v>
      </c>
      <c r="BC31" s="31"/>
      <c r="BD31" s="669"/>
      <c r="BE31" s="669"/>
      <c r="BF31" s="672"/>
      <c r="BG31" s="31"/>
    </row>
    <row r="32" spans="1:59" s="14" customFormat="1" ht="86.25" customHeight="1" x14ac:dyDescent="0.35">
      <c r="A32" s="536"/>
      <c r="B32" s="461"/>
      <c r="C32" s="26"/>
      <c r="D32" s="26"/>
      <c r="E32" s="26"/>
      <c r="F32" s="389"/>
      <c r="G32" s="389"/>
      <c r="H32" s="389"/>
      <c r="I32" s="389"/>
      <c r="J32" s="461"/>
      <c r="K32" s="274"/>
      <c r="L32" s="275"/>
      <c r="M32" s="320"/>
      <c r="N32" s="275"/>
      <c r="O32" s="272"/>
      <c r="P32" s="272"/>
      <c r="Q32" s="272"/>
      <c r="R32" s="272"/>
      <c r="S32" s="272"/>
      <c r="T32" s="272"/>
      <c r="U32" s="272"/>
      <c r="V32" s="272"/>
      <c r="W32" s="272"/>
      <c r="X32" s="272"/>
      <c r="Y32" s="272"/>
      <c r="Z32" s="272"/>
      <c r="AA32" s="353"/>
      <c r="AB32" s="353"/>
      <c r="AC32" s="353"/>
      <c r="AD32" s="353"/>
      <c r="AE32" s="426"/>
      <c r="AF32" s="580" t="s">
        <v>107</v>
      </c>
      <c r="AG32" s="581"/>
      <c r="AH32" s="581"/>
      <c r="AI32" s="581"/>
      <c r="AJ32" s="581"/>
      <c r="AK32" s="581"/>
      <c r="AL32" s="581"/>
      <c r="AM32" s="581"/>
      <c r="AN32" s="581"/>
      <c r="AO32" s="581"/>
      <c r="AP32" s="581"/>
      <c r="AQ32" s="581"/>
      <c r="AR32" s="582"/>
      <c r="AS32" s="375">
        <f>AVERAGE(AS23:AS31)</f>
        <v>0.50777777777777777</v>
      </c>
      <c r="AT32" s="31"/>
      <c r="AU32" s="31"/>
      <c r="AV32" s="31"/>
      <c r="AW32" s="157"/>
      <c r="AX32" s="32"/>
      <c r="AY32" s="32"/>
      <c r="AZ32" s="31"/>
      <c r="BA32" s="32"/>
      <c r="BB32" s="156"/>
      <c r="BC32" s="31"/>
      <c r="BD32" s="669"/>
      <c r="BE32" s="669"/>
      <c r="BF32" s="672"/>
      <c r="BG32" s="31"/>
    </row>
    <row r="33" spans="1:59" s="14" customFormat="1" ht="148.5" customHeight="1" x14ac:dyDescent="0.35">
      <c r="A33" s="536"/>
      <c r="B33" s="461"/>
      <c r="C33" s="26"/>
      <c r="D33" s="26"/>
      <c r="E33" s="26"/>
      <c r="F33" s="389"/>
      <c r="G33" s="389"/>
      <c r="H33" s="389"/>
      <c r="I33" s="389"/>
      <c r="J33" s="461"/>
      <c r="K33" s="504" t="s">
        <v>101</v>
      </c>
      <c r="L33" s="505">
        <v>1</v>
      </c>
      <c r="M33" s="506" t="s">
        <v>102</v>
      </c>
      <c r="N33" s="230" t="s">
        <v>102</v>
      </c>
      <c r="O33" s="483">
        <v>224</v>
      </c>
      <c r="P33" s="39"/>
      <c r="Q33" s="39"/>
      <c r="R33" s="39"/>
      <c r="S33" s="39"/>
      <c r="T33" s="39"/>
      <c r="U33" s="39"/>
      <c r="V33" s="39"/>
      <c r="W33" s="39"/>
      <c r="X33" s="483">
        <v>56</v>
      </c>
      <c r="Y33" s="483">
        <v>104</v>
      </c>
      <c r="Z33" s="483">
        <v>65</v>
      </c>
      <c r="AA33" s="483">
        <v>57</v>
      </c>
      <c r="AB33" s="483">
        <f>+AA33</f>
        <v>57</v>
      </c>
      <c r="AC33" s="505">
        <v>1</v>
      </c>
      <c r="AD33" s="483">
        <f>+AB33+Y33</f>
        <v>161</v>
      </c>
      <c r="AE33" s="484">
        <f>+AD33/O33</f>
        <v>0.71875</v>
      </c>
      <c r="AF33" s="583" t="s">
        <v>107</v>
      </c>
      <c r="AG33" s="586">
        <v>2021130010150</v>
      </c>
      <c r="AH33" s="583" t="s">
        <v>600</v>
      </c>
      <c r="AI33" s="230" t="s">
        <v>103</v>
      </c>
      <c r="AJ33" s="39">
        <v>56</v>
      </c>
      <c r="AK33" s="39" t="s">
        <v>503</v>
      </c>
      <c r="AL33" s="39">
        <v>365</v>
      </c>
      <c r="AM33" s="39">
        <v>56</v>
      </c>
      <c r="AN33" s="120"/>
      <c r="AO33" s="120"/>
      <c r="AP33" s="120" t="s">
        <v>699</v>
      </c>
      <c r="AQ33" s="200">
        <v>0.25440000000000002</v>
      </c>
      <c r="AR33" s="120" t="s">
        <v>699</v>
      </c>
      <c r="AS33" s="21">
        <v>0.5</v>
      </c>
      <c r="AT33" s="39" t="s">
        <v>601</v>
      </c>
      <c r="AU33" s="64" t="s">
        <v>104</v>
      </c>
      <c r="AV33" s="64" t="s">
        <v>609</v>
      </c>
      <c r="AW33" s="63">
        <v>100000000</v>
      </c>
      <c r="AX33" s="230" t="s">
        <v>506</v>
      </c>
      <c r="AY33" s="230" t="s">
        <v>529</v>
      </c>
      <c r="AZ33" s="64" t="s">
        <v>528</v>
      </c>
      <c r="BA33" s="230" t="s">
        <v>515</v>
      </c>
      <c r="BB33" s="120" t="s">
        <v>608</v>
      </c>
      <c r="BC33" s="64"/>
      <c r="BD33" s="669"/>
      <c r="BE33" s="669"/>
      <c r="BF33" s="672"/>
      <c r="BG33" s="114" t="s">
        <v>732</v>
      </c>
    </row>
    <row r="34" spans="1:59" s="14" customFormat="1" ht="72.5" x14ac:dyDescent="0.35">
      <c r="A34" s="536"/>
      <c r="B34" s="461"/>
      <c r="C34" s="26"/>
      <c r="D34" s="26"/>
      <c r="E34" s="26"/>
      <c r="F34" s="389"/>
      <c r="G34" s="389"/>
      <c r="H34" s="389"/>
      <c r="I34" s="389"/>
      <c r="J34" s="461"/>
      <c r="K34" s="504"/>
      <c r="L34" s="505"/>
      <c r="M34" s="506"/>
      <c r="N34" s="230"/>
      <c r="O34" s="483"/>
      <c r="P34" s="230"/>
      <c r="Q34" s="230"/>
      <c r="R34" s="230"/>
      <c r="S34" s="230"/>
      <c r="T34" s="230"/>
      <c r="U34" s="230"/>
      <c r="V34" s="230"/>
      <c r="W34" s="230"/>
      <c r="X34" s="483"/>
      <c r="Y34" s="483"/>
      <c r="Z34" s="483"/>
      <c r="AA34" s="483"/>
      <c r="AB34" s="483"/>
      <c r="AC34" s="505"/>
      <c r="AD34" s="483"/>
      <c r="AE34" s="484"/>
      <c r="AF34" s="584"/>
      <c r="AG34" s="587"/>
      <c r="AH34" s="584"/>
      <c r="AI34" s="230" t="s">
        <v>602</v>
      </c>
      <c r="AJ34" s="21">
        <v>1</v>
      </c>
      <c r="AK34" s="39" t="s">
        <v>503</v>
      </c>
      <c r="AL34" s="39">
        <v>365</v>
      </c>
      <c r="AM34" s="21">
        <v>1</v>
      </c>
      <c r="AN34" s="120"/>
      <c r="AO34" s="120"/>
      <c r="AP34" s="120" t="s">
        <v>697</v>
      </c>
      <c r="AQ34" s="200">
        <v>0.25</v>
      </c>
      <c r="AR34" s="120" t="s">
        <v>733</v>
      </c>
      <c r="AS34" s="21">
        <v>0.5</v>
      </c>
      <c r="AT34" s="39" t="s">
        <v>601</v>
      </c>
      <c r="AU34" s="64" t="s">
        <v>104</v>
      </c>
      <c r="AV34" s="64"/>
      <c r="AW34" s="63"/>
      <c r="AX34" s="230"/>
      <c r="AY34" s="230"/>
      <c r="AZ34" s="64"/>
      <c r="BA34" s="230" t="s">
        <v>515</v>
      </c>
      <c r="BB34" s="120" t="s">
        <v>608</v>
      </c>
      <c r="BC34" s="64"/>
      <c r="BD34" s="669"/>
      <c r="BE34" s="669"/>
      <c r="BF34" s="672"/>
      <c r="BG34" s="114" t="s">
        <v>734</v>
      </c>
    </row>
    <row r="35" spans="1:59" s="14" customFormat="1" ht="116" x14ac:dyDescent="0.35">
      <c r="A35" s="536"/>
      <c r="B35" s="461"/>
      <c r="C35" s="26"/>
      <c r="D35" s="26"/>
      <c r="E35" s="26"/>
      <c r="F35" s="389"/>
      <c r="G35" s="389"/>
      <c r="H35" s="389"/>
      <c r="I35" s="389"/>
      <c r="J35" s="461"/>
      <c r="K35" s="504"/>
      <c r="L35" s="505"/>
      <c r="M35" s="506"/>
      <c r="N35" s="230"/>
      <c r="O35" s="483"/>
      <c r="P35" s="230"/>
      <c r="Q35" s="230"/>
      <c r="R35" s="230"/>
      <c r="S35" s="230"/>
      <c r="T35" s="230"/>
      <c r="U35" s="230"/>
      <c r="V35" s="230"/>
      <c r="W35" s="230"/>
      <c r="X35" s="483"/>
      <c r="Y35" s="483"/>
      <c r="Z35" s="483"/>
      <c r="AA35" s="483"/>
      <c r="AB35" s="483"/>
      <c r="AC35" s="505"/>
      <c r="AD35" s="483"/>
      <c r="AE35" s="484"/>
      <c r="AF35" s="585"/>
      <c r="AG35" s="588"/>
      <c r="AH35" s="585"/>
      <c r="AI35" s="230" t="s">
        <v>603</v>
      </c>
      <c r="AJ35" s="13">
        <v>1</v>
      </c>
      <c r="AK35" s="10" t="s">
        <v>503</v>
      </c>
      <c r="AL35" s="10">
        <v>365</v>
      </c>
      <c r="AM35" s="13">
        <v>1</v>
      </c>
      <c r="AN35" s="230"/>
      <c r="AO35" s="230"/>
      <c r="AP35" s="230" t="s">
        <v>698</v>
      </c>
      <c r="AQ35" s="12">
        <v>0.46</v>
      </c>
      <c r="AR35" s="230" t="s">
        <v>735</v>
      </c>
      <c r="AS35" s="21">
        <v>0.5</v>
      </c>
      <c r="AT35" s="39" t="s">
        <v>601</v>
      </c>
      <c r="AU35" s="64" t="s">
        <v>104</v>
      </c>
      <c r="AV35" s="64"/>
      <c r="AW35" s="63"/>
      <c r="AX35" s="230"/>
      <c r="AY35" s="230"/>
      <c r="AZ35" s="64"/>
      <c r="BA35" s="230" t="s">
        <v>515</v>
      </c>
      <c r="BB35" s="120" t="s">
        <v>608</v>
      </c>
      <c r="BC35" s="64"/>
      <c r="BD35" s="669"/>
      <c r="BE35" s="669"/>
      <c r="BF35" s="672"/>
      <c r="BG35" s="114" t="s">
        <v>736</v>
      </c>
    </row>
    <row r="36" spans="1:59" s="14" customFormat="1" ht="60.75" customHeight="1" x14ac:dyDescent="0.35">
      <c r="A36" s="536"/>
      <c r="B36" s="461"/>
      <c r="C36" s="26"/>
      <c r="D36" s="26"/>
      <c r="E36" s="26"/>
      <c r="F36" s="389"/>
      <c r="G36" s="389"/>
      <c r="H36" s="389"/>
      <c r="I36" s="389"/>
      <c r="J36" s="461"/>
      <c r="K36" s="277"/>
      <c r="L36" s="21"/>
      <c r="M36" s="315"/>
      <c r="N36" s="230"/>
      <c r="O36" s="39"/>
      <c r="P36" s="230"/>
      <c r="Q36" s="230"/>
      <c r="R36" s="230"/>
      <c r="S36" s="230"/>
      <c r="T36" s="230"/>
      <c r="U36" s="230"/>
      <c r="V36" s="230"/>
      <c r="W36" s="230"/>
      <c r="X36" s="39"/>
      <c r="Y36" s="39"/>
      <c r="Z36" s="39"/>
      <c r="AA36" s="39"/>
      <c r="AB36" s="39"/>
      <c r="AC36" s="21"/>
      <c r="AD36" s="39"/>
      <c r="AE36" s="429"/>
      <c r="AF36" s="580" t="s">
        <v>107</v>
      </c>
      <c r="AG36" s="581"/>
      <c r="AH36" s="581"/>
      <c r="AI36" s="581"/>
      <c r="AJ36" s="581"/>
      <c r="AK36" s="581"/>
      <c r="AL36" s="581"/>
      <c r="AM36" s="581"/>
      <c r="AN36" s="581"/>
      <c r="AO36" s="581"/>
      <c r="AP36" s="581"/>
      <c r="AQ36" s="581"/>
      <c r="AR36" s="582"/>
      <c r="AS36" s="434">
        <f>AVERAGE(AS33:AS35)</f>
        <v>0.5</v>
      </c>
      <c r="AT36" s="39"/>
      <c r="AU36" s="64"/>
      <c r="AV36" s="64"/>
      <c r="AW36" s="63"/>
      <c r="AX36" s="230"/>
      <c r="AY36" s="230"/>
      <c r="AZ36" s="64"/>
      <c r="BA36" s="230"/>
      <c r="BB36" s="120"/>
      <c r="BC36" s="64"/>
      <c r="BD36" s="669"/>
      <c r="BE36" s="669"/>
      <c r="BF36" s="672"/>
      <c r="BG36" s="114"/>
    </row>
    <row r="37" spans="1:59" s="14" customFormat="1" ht="112.5" customHeight="1" x14ac:dyDescent="0.35">
      <c r="A37" s="536"/>
      <c r="B37" s="461"/>
      <c r="C37" s="26"/>
      <c r="D37" s="26"/>
      <c r="E37" s="26"/>
      <c r="F37" s="389"/>
      <c r="G37" s="389"/>
      <c r="H37" s="389"/>
      <c r="I37" s="389"/>
      <c r="J37" s="461"/>
      <c r="K37" s="472" t="s">
        <v>120</v>
      </c>
      <c r="L37" s="472">
        <v>500</v>
      </c>
      <c r="M37" s="492" t="s">
        <v>121</v>
      </c>
      <c r="N37" s="276" t="s">
        <v>121</v>
      </c>
      <c r="O37" s="472">
        <f>500*4</f>
        <v>2000</v>
      </c>
      <c r="P37" s="276">
        <v>500</v>
      </c>
      <c r="Q37" s="276">
        <v>420</v>
      </c>
      <c r="R37" s="276">
        <v>500</v>
      </c>
      <c r="S37" s="276">
        <v>74</v>
      </c>
      <c r="T37" s="276">
        <v>176</v>
      </c>
      <c r="U37" s="276">
        <v>125</v>
      </c>
      <c r="V37" s="276">
        <v>84</v>
      </c>
      <c r="W37" s="276"/>
      <c r="X37" s="472">
        <v>500</v>
      </c>
      <c r="Y37" s="472">
        <v>920</v>
      </c>
      <c r="Z37" s="472">
        <v>53</v>
      </c>
      <c r="AA37" s="472">
        <v>139</v>
      </c>
      <c r="AB37" s="472">
        <f>+Z37+AA37</f>
        <v>192</v>
      </c>
      <c r="AC37" s="476">
        <f>+AB37/X37</f>
        <v>0.38400000000000001</v>
      </c>
      <c r="AD37" s="472">
        <f>+AB37+Y37</f>
        <v>1112</v>
      </c>
      <c r="AE37" s="503">
        <f>+AD37/O37</f>
        <v>0.55600000000000005</v>
      </c>
      <c r="AF37" s="589" t="s">
        <v>122</v>
      </c>
      <c r="AG37" s="592">
        <v>2020130010157</v>
      </c>
      <c r="AH37" s="595" t="s">
        <v>123</v>
      </c>
      <c r="AI37" s="276" t="s">
        <v>124</v>
      </c>
      <c r="AJ37" s="276">
        <v>500</v>
      </c>
      <c r="AK37" s="276" t="s">
        <v>503</v>
      </c>
      <c r="AL37" s="276">
        <v>365</v>
      </c>
      <c r="AM37" s="276">
        <v>500</v>
      </c>
      <c r="AN37" s="276"/>
      <c r="AO37" s="276"/>
      <c r="AP37" s="276">
        <v>53</v>
      </c>
      <c r="AQ37" s="178">
        <f>+AP37/AM37</f>
        <v>0.106</v>
      </c>
      <c r="AR37" s="207">
        <v>139</v>
      </c>
      <c r="AS37" s="178">
        <f>+(AP37+AR37)/AJ37</f>
        <v>0.38400000000000001</v>
      </c>
      <c r="AT37" s="85" t="s">
        <v>125</v>
      </c>
      <c r="AU37" s="85" t="s">
        <v>126</v>
      </c>
      <c r="AV37" s="85" t="s">
        <v>613</v>
      </c>
      <c r="AW37" s="86">
        <v>215658186</v>
      </c>
      <c r="AX37" s="84" t="s">
        <v>532</v>
      </c>
      <c r="AY37" s="84" t="s">
        <v>531</v>
      </c>
      <c r="AZ37" s="85" t="s">
        <v>530</v>
      </c>
      <c r="BA37" s="85" t="s">
        <v>515</v>
      </c>
      <c r="BB37" s="123" t="s">
        <v>610</v>
      </c>
      <c r="BC37" s="85"/>
      <c r="BD37" s="669"/>
      <c r="BE37" s="669"/>
      <c r="BF37" s="672"/>
      <c r="BG37" s="85" t="s">
        <v>751</v>
      </c>
    </row>
    <row r="38" spans="1:59" s="14" customFormat="1" ht="60.65" customHeight="1" x14ac:dyDescent="0.35">
      <c r="A38" s="536"/>
      <c r="B38" s="461"/>
      <c r="C38" s="26"/>
      <c r="D38" s="26"/>
      <c r="E38" s="26"/>
      <c r="F38" s="389"/>
      <c r="G38" s="389"/>
      <c r="H38" s="389"/>
      <c r="I38" s="389"/>
      <c r="J38" s="461"/>
      <c r="K38" s="472"/>
      <c r="L38" s="472"/>
      <c r="M38" s="492"/>
      <c r="N38" s="276"/>
      <c r="O38" s="472"/>
      <c r="P38" s="276"/>
      <c r="Q38" s="276"/>
      <c r="R38" s="276"/>
      <c r="S38" s="276"/>
      <c r="T38" s="276"/>
      <c r="U38" s="276"/>
      <c r="V38" s="276"/>
      <c r="W38" s="276"/>
      <c r="X38" s="472"/>
      <c r="Y38" s="472"/>
      <c r="Z38" s="472"/>
      <c r="AA38" s="472"/>
      <c r="AB38" s="472"/>
      <c r="AC38" s="476"/>
      <c r="AD38" s="472"/>
      <c r="AE38" s="503"/>
      <c r="AF38" s="590"/>
      <c r="AG38" s="593"/>
      <c r="AH38" s="596"/>
      <c r="AI38" s="276" t="s">
        <v>127</v>
      </c>
      <c r="AJ38" s="276">
        <v>10</v>
      </c>
      <c r="AK38" s="276" t="s">
        <v>503</v>
      </c>
      <c r="AL38" s="276">
        <v>365</v>
      </c>
      <c r="AM38" s="276">
        <v>10</v>
      </c>
      <c r="AN38" s="276"/>
      <c r="AO38" s="276"/>
      <c r="AP38" s="276">
        <v>2</v>
      </c>
      <c r="AQ38" s="178">
        <f>+AP38/AM38</f>
        <v>0.2</v>
      </c>
      <c r="AR38" s="207">
        <v>0</v>
      </c>
      <c r="AS38" s="178">
        <f>+(AP38+AR38)/AJ38</f>
        <v>0.2</v>
      </c>
      <c r="AT38" s="85" t="s">
        <v>125</v>
      </c>
      <c r="AU38" s="85" t="s">
        <v>126</v>
      </c>
      <c r="AV38" s="85"/>
      <c r="AW38" s="86"/>
      <c r="AX38" s="84"/>
      <c r="AY38" s="84"/>
      <c r="AZ38" s="85"/>
      <c r="BA38" s="85"/>
      <c r="BB38" s="123"/>
      <c r="BC38" s="85"/>
      <c r="BD38" s="669"/>
      <c r="BE38" s="669"/>
      <c r="BF38" s="672"/>
      <c r="BG38" s="85"/>
    </row>
    <row r="39" spans="1:59" s="14" customFormat="1" ht="51.65" customHeight="1" x14ac:dyDescent="0.35">
      <c r="A39" s="536"/>
      <c r="B39" s="461"/>
      <c r="C39" s="26"/>
      <c r="D39" s="26"/>
      <c r="E39" s="26"/>
      <c r="F39" s="389"/>
      <c r="G39" s="389"/>
      <c r="H39" s="389"/>
      <c r="I39" s="389"/>
      <c r="J39" s="461"/>
      <c r="K39" s="472"/>
      <c r="L39" s="472"/>
      <c r="M39" s="492"/>
      <c r="N39" s="276"/>
      <c r="O39" s="472"/>
      <c r="P39" s="276"/>
      <c r="Q39" s="276"/>
      <c r="R39" s="276"/>
      <c r="S39" s="276"/>
      <c r="T39" s="276"/>
      <c r="U39" s="276"/>
      <c r="V39" s="276"/>
      <c r="W39" s="276"/>
      <c r="X39" s="472"/>
      <c r="Y39" s="472"/>
      <c r="Z39" s="472"/>
      <c r="AA39" s="472"/>
      <c r="AB39" s="472"/>
      <c r="AC39" s="476"/>
      <c r="AD39" s="472"/>
      <c r="AE39" s="503"/>
      <c r="AF39" s="590"/>
      <c r="AG39" s="593"/>
      <c r="AH39" s="596"/>
      <c r="AI39" s="276" t="s">
        <v>128</v>
      </c>
      <c r="AJ39" s="276">
        <v>30</v>
      </c>
      <c r="AK39" s="276" t="s">
        <v>503</v>
      </c>
      <c r="AL39" s="276">
        <v>365</v>
      </c>
      <c r="AM39" s="276">
        <v>30</v>
      </c>
      <c r="AN39" s="276"/>
      <c r="AO39" s="276"/>
      <c r="AP39" s="276">
        <v>3</v>
      </c>
      <c r="AQ39" s="178">
        <f>+AP39/AM39</f>
        <v>0.1</v>
      </c>
      <c r="AR39" s="207">
        <v>8</v>
      </c>
      <c r="AS39" s="178">
        <f>+(AP39+AR39)/AJ39</f>
        <v>0.36666666666666664</v>
      </c>
      <c r="AT39" s="85" t="s">
        <v>125</v>
      </c>
      <c r="AU39" s="85" t="s">
        <v>126</v>
      </c>
      <c r="AV39" s="85"/>
      <c r="AW39" s="86"/>
      <c r="AX39" s="84"/>
      <c r="AY39" s="84"/>
      <c r="AZ39" s="85"/>
      <c r="BA39" s="85"/>
      <c r="BB39" s="123"/>
      <c r="BC39" s="85"/>
      <c r="BD39" s="669"/>
      <c r="BE39" s="669"/>
      <c r="BF39" s="672"/>
      <c r="BG39" s="85"/>
    </row>
    <row r="40" spans="1:59" s="14" customFormat="1" ht="58" x14ac:dyDescent="0.35">
      <c r="A40" s="536"/>
      <c r="B40" s="461"/>
      <c r="C40" s="26"/>
      <c r="D40" s="26"/>
      <c r="E40" s="26"/>
      <c r="F40" s="389"/>
      <c r="G40" s="389"/>
      <c r="H40" s="389"/>
      <c r="I40" s="389"/>
      <c r="J40" s="461"/>
      <c r="K40" s="472"/>
      <c r="L40" s="472"/>
      <c r="M40" s="492"/>
      <c r="N40" s="276"/>
      <c r="O40" s="472"/>
      <c r="P40" s="276"/>
      <c r="Q40" s="276"/>
      <c r="R40" s="276"/>
      <c r="S40" s="276"/>
      <c r="T40" s="276"/>
      <c r="U40" s="276"/>
      <c r="V40" s="65"/>
      <c r="W40" s="276"/>
      <c r="X40" s="472"/>
      <c r="Y40" s="472"/>
      <c r="Z40" s="472"/>
      <c r="AA40" s="472"/>
      <c r="AB40" s="472"/>
      <c r="AC40" s="476"/>
      <c r="AD40" s="472"/>
      <c r="AE40" s="503"/>
      <c r="AF40" s="591"/>
      <c r="AG40" s="594"/>
      <c r="AH40" s="597"/>
      <c r="AI40" s="276" t="s">
        <v>129</v>
      </c>
      <c r="AJ40" s="276">
        <v>1</v>
      </c>
      <c r="AK40" s="276" t="s">
        <v>503</v>
      </c>
      <c r="AL40" s="276">
        <v>365</v>
      </c>
      <c r="AM40" s="276">
        <v>1</v>
      </c>
      <c r="AN40" s="276"/>
      <c r="AO40" s="276"/>
      <c r="AP40" s="276">
        <v>0</v>
      </c>
      <c r="AQ40" s="178">
        <f>+AP40/AM40</f>
        <v>0</v>
      </c>
      <c r="AR40" s="207">
        <v>0</v>
      </c>
      <c r="AS40" s="178">
        <f>+(AP40+AR40)/AJ40</f>
        <v>0</v>
      </c>
      <c r="AT40" s="85" t="s">
        <v>125</v>
      </c>
      <c r="AU40" s="85" t="s">
        <v>126</v>
      </c>
      <c r="AV40" s="85"/>
      <c r="AW40" s="86"/>
      <c r="AX40" s="84"/>
      <c r="AY40" s="84"/>
      <c r="AZ40" s="85"/>
      <c r="BA40" s="85" t="s">
        <v>515</v>
      </c>
      <c r="BB40" s="123" t="s">
        <v>611</v>
      </c>
      <c r="BC40" s="85"/>
      <c r="BD40" s="669"/>
      <c r="BE40" s="669"/>
      <c r="BF40" s="672"/>
      <c r="BG40" s="85"/>
    </row>
    <row r="41" spans="1:59" s="14" customFormat="1" ht="43.5" customHeight="1" x14ac:dyDescent="0.35">
      <c r="A41" s="536"/>
      <c r="B41" s="461"/>
      <c r="C41" s="26"/>
      <c r="D41" s="26"/>
      <c r="E41" s="26"/>
      <c r="F41" s="389"/>
      <c r="G41" s="389"/>
      <c r="H41" s="389"/>
      <c r="I41" s="389"/>
      <c r="J41" s="461"/>
      <c r="K41" s="276"/>
      <c r="L41" s="276"/>
      <c r="M41" s="338"/>
      <c r="N41" s="276"/>
      <c r="O41" s="276"/>
      <c r="P41" s="276"/>
      <c r="Q41" s="276"/>
      <c r="R41" s="276"/>
      <c r="S41" s="276"/>
      <c r="T41" s="276"/>
      <c r="U41" s="276"/>
      <c r="V41" s="65"/>
      <c r="W41" s="276"/>
      <c r="X41" s="276"/>
      <c r="Y41" s="276"/>
      <c r="Z41" s="276"/>
      <c r="AA41" s="276"/>
      <c r="AB41" s="276"/>
      <c r="AC41" s="306"/>
      <c r="AD41" s="276"/>
      <c r="AE41" s="300"/>
      <c r="AF41" s="580" t="s">
        <v>122</v>
      </c>
      <c r="AG41" s="581"/>
      <c r="AH41" s="581"/>
      <c r="AI41" s="581"/>
      <c r="AJ41" s="581"/>
      <c r="AK41" s="581"/>
      <c r="AL41" s="581"/>
      <c r="AM41" s="581"/>
      <c r="AN41" s="581"/>
      <c r="AO41" s="581"/>
      <c r="AP41" s="581"/>
      <c r="AQ41" s="581"/>
      <c r="AR41" s="582"/>
      <c r="AS41" s="425">
        <f>AVERAGE(AS37:AS40)</f>
        <v>0.23766666666666669</v>
      </c>
      <c r="AT41" s="85"/>
      <c r="AU41" s="85"/>
      <c r="AV41" s="85"/>
      <c r="AW41" s="86"/>
      <c r="AX41" s="84"/>
      <c r="AY41" s="84"/>
      <c r="AZ41" s="85"/>
      <c r="BA41" s="85"/>
      <c r="BB41" s="123"/>
      <c r="BC41" s="85"/>
      <c r="BD41" s="669"/>
      <c r="BE41" s="669"/>
      <c r="BF41" s="672"/>
      <c r="BG41" s="85"/>
    </row>
    <row r="42" spans="1:59" s="14" customFormat="1" ht="157.5" customHeight="1" x14ac:dyDescent="0.35">
      <c r="A42" s="536"/>
      <c r="B42" s="461"/>
      <c r="C42" s="35"/>
      <c r="D42" s="35"/>
      <c r="E42" s="35"/>
      <c r="F42" s="35"/>
      <c r="G42" s="35"/>
      <c r="H42" s="35"/>
      <c r="I42" s="35"/>
      <c r="J42" s="461"/>
      <c r="K42" s="490" t="s">
        <v>130</v>
      </c>
      <c r="L42" s="491">
        <v>1</v>
      </c>
      <c r="M42" s="492" t="s">
        <v>131</v>
      </c>
      <c r="N42" s="277" t="s">
        <v>131</v>
      </c>
      <c r="O42" s="493">
        <f>164*4</f>
        <v>656</v>
      </c>
      <c r="P42" s="37">
        <v>164</v>
      </c>
      <c r="Q42" s="37">
        <v>164</v>
      </c>
      <c r="R42" s="38">
        <v>164</v>
      </c>
      <c r="S42" s="39">
        <v>45</v>
      </c>
      <c r="T42" s="38">
        <v>56</v>
      </c>
      <c r="U42" s="37">
        <v>70</v>
      </c>
      <c r="V42" s="37">
        <v>22</v>
      </c>
      <c r="W42" s="37"/>
      <c r="X42" s="493">
        <v>164</v>
      </c>
      <c r="Y42" s="493">
        <v>351</v>
      </c>
      <c r="Z42" s="493">
        <v>75</v>
      </c>
      <c r="AA42" s="493">
        <v>31</v>
      </c>
      <c r="AB42" s="493">
        <f>+AA42+Z42</f>
        <v>106</v>
      </c>
      <c r="AC42" s="509">
        <f>+AB42/X42</f>
        <v>0.64634146341463417</v>
      </c>
      <c r="AD42" s="493">
        <f>+AB42+Y42</f>
        <v>457</v>
      </c>
      <c r="AE42" s="498">
        <f>+AD42/O42</f>
        <v>0.69664634146341464</v>
      </c>
      <c r="AF42" s="583" t="s">
        <v>597</v>
      </c>
      <c r="AG42" s="586">
        <v>2021130010168</v>
      </c>
      <c r="AH42" s="583" t="s">
        <v>132</v>
      </c>
      <c r="AI42" s="230" t="s">
        <v>133</v>
      </c>
      <c r="AJ42" s="21">
        <v>1</v>
      </c>
      <c r="AK42" s="39" t="s">
        <v>503</v>
      </c>
      <c r="AL42" s="39">
        <v>365</v>
      </c>
      <c r="AM42" s="21">
        <v>1</v>
      </c>
      <c r="AN42" s="39"/>
      <c r="AO42" s="39"/>
      <c r="AP42" s="39">
        <v>796</v>
      </c>
      <c r="AQ42" s="200">
        <v>0.25</v>
      </c>
      <c r="AR42" s="230" t="s">
        <v>738</v>
      </c>
      <c r="AS42" s="21">
        <v>0.5</v>
      </c>
      <c r="AT42" s="39" t="s">
        <v>91</v>
      </c>
      <c r="AU42" s="39" t="s">
        <v>92</v>
      </c>
      <c r="AV42" s="10" t="s">
        <v>609</v>
      </c>
      <c r="AW42" s="67">
        <v>275000000</v>
      </c>
      <c r="AX42" s="10" t="s">
        <v>506</v>
      </c>
      <c r="AY42" s="230" t="s">
        <v>541</v>
      </c>
      <c r="AZ42" s="39" t="s">
        <v>540</v>
      </c>
      <c r="BA42" s="10" t="s">
        <v>515</v>
      </c>
      <c r="BB42" s="120" t="s">
        <v>608</v>
      </c>
      <c r="BC42" s="39"/>
      <c r="BD42" s="669"/>
      <c r="BE42" s="669"/>
      <c r="BF42" s="672"/>
      <c r="BG42" s="201" t="s">
        <v>740</v>
      </c>
    </row>
    <row r="43" spans="1:59" s="14" customFormat="1" ht="72.5" x14ac:dyDescent="0.35">
      <c r="A43" s="536"/>
      <c r="B43" s="461"/>
      <c r="C43" s="26"/>
      <c r="D43" s="26"/>
      <c r="E43" s="26"/>
      <c r="F43" s="389"/>
      <c r="G43" s="389"/>
      <c r="H43" s="389"/>
      <c r="I43" s="389"/>
      <c r="J43" s="461"/>
      <c r="K43" s="490"/>
      <c r="L43" s="491"/>
      <c r="M43" s="492"/>
      <c r="N43" s="277"/>
      <c r="O43" s="493"/>
      <c r="P43" s="40"/>
      <c r="Q43" s="40"/>
      <c r="R43" s="40"/>
      <c r="S43" s="40"/>
      <c r="T43" s="40"/>
      <c r="U43" s="40"/>
      <c r="V43" s="37"/>
      <c r="W43" s="40"/>
      <c r="X43" s="493"/>
      <c r="Y43" s="493"/>
      <c r="Z43" s="493"/>
      <c r="AA43" s="493"/>
      <c r="AB43" s="493"/>
      <c r="AC43" s="509"/>
      <c r="AD43" s="493"/>
      <c r="AE43" s="498"/>
      <c r="AF43" s="584"/>
      <c r="AG43" s="587"/>
      <c r="AH43" s="584"/>
      <c r="AI43" s="230" t="s">
        <v>135</v>
      </c>
      <c r="AJ43" s="13">
        <v>1</v>
      </c>
      <c r="AK43" s="10" t="s">
        <v>503</v>
      </c>
      <c r="AL43" s="10">
        <v>365</v>
      </c>
      <c r="AM43" s="13">
        <v>1</v>
      </c>
      <c r="AN43" s="230"/>
      <c r="AO43" s="230"/>
      <c r="AP43" s="10">
        <v>2</v>
      </c>
      <c r="AQ43" s="12">
        <v>0.25</v>
      </c>
      <c r="AR43" s="230" t="s">
        <v>739</v>
      </c>
      <c r="AS43" s="13">
        <v>0.5</v>
      </c>
      <c r="AT43" s="10" t="s">
        <v>91</v>
      </c>
      <c r="AU43" s="10" t="s">
        <v>92</v>
      </c>
      <c r="AV43" s="10"/>
      <c r="AW43" s="69"/>
      <c r="AX43" s="230"/>
      <c r="AY43" s="230"/>
      <c r="AZ43" s="10"/>
      <c r="BA43" s="10" t="s">
        <v>515</v>
      </c>
      <c r="BB43" s="120" t="s">
        <v>608</v>
      </c>
      <c r="BC43" s="10"/>
      <c r="BD43" s="669"/>
      <c r="BE43" s="669"/>
      <c r="BF43" s="672"/>
      <c r="BG43" s="115" t="s">
        <v>741</v>
      </c>
    </row>
    <row r="44" spans="1:59" s="14" customFormat="1" ht="75" customHeight="1" x14ac:dyDescent="0.35">
      <c r="A44" s="536"/>
      <c r="B44" s="461"/>
      <c r="C44" s="26"/>
      <c r="D44" s="26"/>
      <c r="E44" s="26"/>
      <c r="F44" s="389"/>
      <c r="G44" s="389"/>
      <c r="H44" s="389"/>
      <c r="I44" s="389"/>
      <c r="J44" s="461"/>
      <c r="K44" s="490"/>
      <c r="L44" s="491"/>
      <c r="M44" s="492"/>
      <c r="N44" s="277"/>
      <c r="O44" s="493"/>
      <c r="P44" s="40"/>
      <c r="Q44" s="40"/>
      <c r="R44" s="40"/>
      <c r="S44" s="40"/>
      <c r="T44" s="40"/>
      <c r="U44" s="40"/>
      <c r="V44" s="37"/>
      <c r="W44" s="40"/>
      <c r="X44" s="493"/>
      <c r="Y44" s="493"/>
      <c r="Z44" s="493"/>
      <c r="AA44" s="493"/>
      <c r="AB44" s="493"/>
      <c r="AC44" s="509"/>
      <c r="AD44" s="493"/>
      <c r="AE44" s="498"/>
      <c r="AF44" s="584"/>
      <c r="AG44" s="587"/>
      <c r="AH44" s="584"/>
      <c r="AI44" s="242" t="s">
        <v>136</v>
      </c>
      <c r="AJ44" s="430">
        <v>4</v>
      </c>
      <c r="AK44" s="430" t="s">
        <v>503</v>
      </c>
      <c r="AL44" s="430">
        <v>365</v>
      </c>
      <c r="AM44" s="430">
        <v>4</v>
      </c>
      <c r="AN44" s="242"/>
      <c r="AO44" s="242"/>
      <c r="AP44" s="430">
        <v>3</v>
      </c>
      <c r="AQ44" s="431">
        <v>0.75</v>
      </c>
      <c r="AR44" s="242" t="s">
        <v>737</v>
      </c>
      <c r="AS44" s="13">
        <v>1</v>
      </c>
      <c r="AT44" s="10" t="s">
        <v>91</v>
      </c>
      <c r="AU44" s="10" t="s">
        <v>92</v>
      </c>
      <c r="AV44" s="10"/>
      <c r="AW44" s="69"/>
      <c r="AX44" s="230"/>
      <c r="AY44" s="230"/>
      <c r="AZ44" s="10"/>
      <c r="BA44" s="10" t="s">
        <v>515</v>
      </c>
      <c r="BB44" s="120" t="s">
        <v>608</v>
      </c>
      <c r="BC44" s="10"/>
      <c r="BD44" s="669"/>
      <c r="BE44" s="669"/>
      <c r="BF44" s="672"/>
      <c r="BG44" s="202" t="s">
        <v>742</v>
      </c>
    </row>
    <row r="45" spans="1:59" s="14" customFormat="1" ht="75" customHeight="1" x14ac:dyDescent="0.35">
      <c r="A45" s="536"/>
      <c r="B45" s="461"/>
      <c r="C45" s="26"/>
      <c r="D45" s="26"/>
      <c r="E45" s="26"/>
      <c r="F45" s="389"/>
      <c r="G45" s="389"/>
      <c r="H45" s="389"/>
      <c r="I45" s="389"/>
      <c r="J45" s="461"/>
      <c r="K45" s="490"/>
      <c r="L45" s="491"/>
      <c r="M45" s="492"/>
      <c r="N45" s="277"/>
      <c r="O45" s="493"/>
      <c r="P45" s="40"/>
      <c r="Q45" s="40"/>
      <c r="R45" s="40"/>
      <c r="S45" s="40"/>
      <c r="T45" s="40"/>
      <c r="U45" s="40"/>
      <c r="V45" s="37"/>
      <c r="W45" s="40"/>
      <c r="X45" s="493"/>
      <c r="Y45" s="493"/>
      <c r="Z45" s="493"/>
      <c r="AA45" s="493"/>
      <c r="AB45" s="493"/>
      <c r="AC45" s="509"/>
      <c r="AD45" s="493"/>
      <c r="AE45" s="498"/>
      <c r="AF45" s="468" t="s">
        <v>597</v>
      </c>
      <c r="AG45" s="468"/>
      <c r="AH45" s="468"/>
      <c r="AI45" s="468"/>
      <c r="AJ45" s="468"/>
      <c r="AK45" s="468"/>
      <c r="AL45" s="468"/>
      <c r="AM45" s="468"/>
      <c r="AN45" s="468"/>
      <c r="AO45" s="468"/>
      <c r="AP45" s="468"/>
      <c r="AQ45" s="468"/>
      <c r="AR45" s="468"/>
      <c r="AS45" s="434">
        <f>AVERAGE(AS42:AS44)</f>
        <v>0.66666666666666663</v>
      </c>
      <c r="AT45" s="10"/>
      <c r="AU45" s="10"/>
      <c r="AV45" s="10"/>
      <c r="AW45" s="69"/>
      <c r="AX45" s="230"/>
      <c r="AY45" s="230"/>
      <c r="AZ45" s="10"/>
      <c r="BA45" s="10"/>
      <c r="BB45" s="120"/>
      <c r="BC45" s="10"/>
      <c r="BD45" s="669"/>
      <c r="BE45" s="669"/>
      <c r="BF45" s="672"/>
      <c r="BG45" s="202"/>
    </row>
    <row r="46" spans="1:59" s="14" customFormat="1" ht="197.25" customHeight="1" x14ac:dyDescent="0.35">
      <c r="A46" s="536"/>
      <c r="B46" s="461"/>
      <c r="C46" s="79"/>
      <c r="D46" s="79"/>
      <c r="E46" s="79"/>
      <c r="F46" s="79"/>
      <c r="G46" s="79"/>
      <c r="H46" s="79"/>
      <c r="I46" s="79"/>
      <c r="J46" s="461"/>
      <c r="K46" s="490"/>
      <c r="L46" s="491"/>
      <c r="M46" s="492"/>
      <c r="N46" s="80" t="s">
        <v>131</v>
      </c>
      <c r="O46" s="493"/>
      <c r="P46" s="394">
        <v>164</v>
      </c>
      <c r="Q46" s="394">
        <v>164</v>
      </c>
      <c r="R46" s="394">
        <v>164</v>
      </c>
      <c r="S46" s="394">
        <v>11</v>
      </c>
      <c r="T46" s="394">
        <v>56</v>
      </c>
      <c r="U46" s="394">
        <v>70</v>
      </c>
      <c r="V46" s="394">
        <v>22</v>
      </c>
      <c r="W46" s="394"/>
      <c r="X46" s="493"/>
      <c r="Y46" s="493"/>
      <c r="Z46" s="493"/>
      <c r="AA46" s="493"/>
      <c r="AB46" s="493"/>
      <c r="AC46" s="509"/>
      <c r="AD46" s="493"/>
      <c r="AE46" s="498"/>
      <c r="AF46" s="159" t="s">
        <v>137</v>
      </c>
      <c r="AG46" s="81">
        <v>2020130010151</v>
      </c>
      <c r="AH46" s="80" t="s">
        <v>138</v>
      </c>
      <c r="AI46" s="80" t="s">
        <v>139</v>
      </c>
      <c r="AJ46" s="444">
        <v>1</v>
      </c>
      <c r="AK46" s="394" t="s">
        <v>503</v>
      </c>
      <c r="AL46" s="394">
        <v>365</v>
      </c>
      <c r="AM46" s="444">
        <v>1</v>
      </c>
      <c r="AN46" s="394"/>
      <c r="AO46" s="394"/>
      <c r="AP46" s="394">
        <v>75</v>
      </c>
      <c r="AQ46" s="445">
        <f>+AP46/X42</f>
        <v>0.45731707317073172</v>
      </c>
      <c r="AR46" s="394">
        <f>106-75</f>
        <v>31</v>
      </c>
      <c r="AS46" s="445">
        <v>0.58563535911602205</v>
      </c>
      <c r="AT46" s="80" t="s">
        <v>140</v>
      </c>
      <c r="AU46" s="80" t="s">
        <v>141</v>
      </c>
      <c r="AV46" s="80" t="s">
        <v>616</v>
      </c>
      <c r="AW46" s="158">
        <v>1008800000</v>
      </c>
      <c r="AX46" s="159" t="s">
        <v>532</v>
      </c>
      <c r="AY46" s="159" t="s">
        <v>536</v>
      </c>
      <c r="AZ46" s="80" t="s">
        <v>535</v>
      </c>
      <c r="BA46" s="80" t="s">
        <v>515</v>
      </c>
      <c r="BB46" s="160" t="s">
        <v>608</v>
      </c>
      <c r="BC46" s="80"/>
      <c r="BD46" s="669"/>
      <c r="BE46" s="669"/>
      <c r="BF46" s="672"/>
      <c r="BG46" s="159" t="s">
        <v>752</v>
      </c>
    </row>
    <row r="47" spans="1:59" s="14" customFormat="1" ht="47.25" customHeight="1" x14ac:dyDescent="0.35">
      <c r="A47" s="536"/>
      <c r="B47" s="461"/>
      <c r="C47" s="79"/>
      <c r="D47" s="79"/>
      <c r="E47" s="79"/>
      <c r="F47" s="79"/>
      <c r="G47" s="79"/>
      <c r="H47" s="79"/>
      <c r="I47" s="79"/>
      <c r="J47" s="461"/>
      <c r="K47" s="85"/>
      <c r="L47" s="100"/>
      <c r="M47" s="338"/>
      <c r="N47" s="80"/>
      <c r="O47" s="394"/>
      <c r="P47" s="394"/>
      <c r="Q47" s="394"/>
      <c r="R47" s="394"/>
      <c r="S47" s="394"/>
      <c r="T47" s="394"/>
      <c r="U47" s="394"/>
      <c r="V47" s="394"/>
      <c r="W47" s="394"/>
      <c r="X47" s="394"/>
      <c r="Y47" s="394"/>
      <c r="Z47" s="394"/>
      <c r="AA47" s="394"/>
      <c r="AB47" s="394"/>
      <c r="AC47" s="432"/>
      <c r="AD47" s="394"/>
      <c r="AE47" s="300"/>
      <c r="AF47" s="537" t="s">
        <v>137</v>
      </c>
      <c r="AG47" s="538"/>
      <c r="AH47" s="538"/>
      <c r="AI47" s="538"/>
      <c r="AJ47" s="538"/>
      <c r="AK47" s="538"/>
      <c r="AL47" s="538"/>
      <c r="AM47" s="538"/>
      <c r="AN47" s="538"/>
      <c r="AO47" s="538"/>
      <c r="AP47" s="538"/>
      <c r="AQ47" s="538"/>
      <c r="AR47" s="539"/>
      <c r="AS47" s="433">
        <f>+AS46</f>
        <v>0.58563535911602205</v>
      </c>
      <c r="AT47" s="80"/>
      <c r="AU47" s="80"/>
      <c r="AV47" s="80"/>
      <c r="AW47" s="158"/>
      <c r="AX47" s="159"/>
      <c r="AY47" s="159"/>
      <c r="AZ47" s="80"/>
      <c r="BA47" s="80"/>
      <c r="BB47" s="160"/>
      <c r="BC47" s="80"/>
      <c r="BD47" s="669"/>
      <c r="BE47" s="669"/>
      <c r="BF47" s="672"/>
      <c r="BG47" s="159"/>
    </row>
    <row r="48" spans="1:59" s="14" customFormat="1" ht="98.25" customHeight="1" x14ac:dyDescent="0.35">
      <c r="A48" s="536"/>
      <c r="B48" s="461"/>
      <c r="C48" s="26"/>
      <c r="D48" s="26"/>
      <c r="E48" s="26"/>
      <c r="F48" s="389"/>
      <c r="G48" s="389"/>
      <c r="H48" s="389"/>
      <c r="I48" s="389"/>
      <c r="J48" s="461"/>
      <c r="K48" s="280" t="s">
        <v>85</v>
      </c>
      <c r="L48" s="280" t="s">
        <v>86</v>
      </c>
      <c r="M48" s="321" t="s">
        <v>142</v>
      </c>
      <c r="N48" s="280" t="s">
        <v>142</v>
      </c>
      <c r="O48" s="278">
        <v>1</v>
      </c>
      <c r="P48" s="278">
        <v>1</v>
      </c>
      <c r="Q48" s="279">
        <v>0.8</v>
      </c>
      <c r="R48" s="179">
        <v>1</v>
      </c>
      <c r="S48" s="179">
        <v>0.25</v>
      </c>
      <c r="T48" s="179">
        <v>0.25</v>
      </c>
      <c r="U48" s="179">
        <v>0.24</v>
      </c>
      <c r="V48" s="179">
        <v>0.2</v>
      </c>
      <c r="W48" s="179"/>
      <c r="X48" s="179">
        <v>1</v>
      </c>
      <c r="Y48" s="179">
        <v>1</v>
      </c>
      <c r="Z48" s="179">
        <v>0.1</v>
      </c>
      <c r="AA48" s="179">
        <v>0.35</v>
      </c>
      <c r="AB48" s="179">
        <f>+Z48+AA48</f>
        <v>0.44999999999999996</v>
      </c>
      <c r="AC48" s="179">
        <f>+AB48</f>
        <v>0.44999999999999996</v>
      </c>
      <c r="AD48" s="179">
        <v>1</v>
      </c>
      <c r="AE48" s="295">
        <v>1</v>
      </c>
      <c r="AF48" s="600" t="s">
        <v>599</v>
      </c>
      <c r="AG48" s="560">
        <v>2021130010170</v>
      </c>
      <c r="AH48" s="561" t="s">
        <v>143</v>
      </c>
      <c r="AI48" s="76" t="s">
        <v>144</v>
      </c>
      <c r="AJ48" s="179">
        <v>1</v>
      </c>
      <c r="AK48" s="182" t="s">
        <v>503</v>
      </c>
      <c r="AL48" s="182">
        <v>365</v>
      </c>
      <c r="AM48" s="179">
        <v>1</v>
      </c>
      <c r="AN48" s="121"/>
      <c r="AO48" s="121"/>
      <c r="AP48" s="179">
        <v>0.1</v>
      </c>
      <c r="AQ48" s="179">
        <v>0.1</v>
      </c>
      <c r="AR48" s="179">
        <v>0.31</v>
      </c>
      <c r="AS48" s="179">
        <v>0.41</v>
      </c>
      <c r="AT48" s="180" t="s">
        <v>140</v>
      </c>
      <c r="AU48" s="180" t="s">
        <v>482</v>
      </c>
      <c r="AV48" s="180" t="s">
        <v>520</v>
      </c>
      <c r="AW48" s="78">
        <v>50000000</v>
      </c>
      <c r="AX48" s="76" t="s">
        <v>518</v>
      </c>
      <c r="AY48" s="76" t="s">
        <v>543</v>
      </c>
      <c r="AZ48" s="77" t="s">
        <v>542</v>
      </c>
      <c r="BA48" s="77" t="s">
        <v>515</v>
      </c>
      <c r="BB48" s="121" t="s">
        <v>608</v>
      </c>
      <c r="BC48" s="77"/>
      <c r="BD48" s="669"/>
      <c r="BE48" s="669"/>
      <c r="BF48" s="672"/>
      <c r="BG48" s="180" t="s">
        <v>753</v>
      </c>
    </row>
    <row r="49" spans="1:59" s="14" customFormat="1" ht="183" customHeight="1" x14ac:dyDescent="0.35">
      <c r="A49" s="536"/>
      <c r="B49" s="461"/>
      <c r="C49" s="26"/>
      <c r="D49" s="26"/>
      <c r="E49" s="26"/>
      <c r="F49" s="389"/>
      <c r="G49" s="389"/>
      <c r="H49" s="389"/>
      <c r="I49" s="389"/>
      <c r="J49" s="461"/>
      <c r="K49" s="496" t="s">
        <v>145</v>
      </c>
      <c r="L49" s="496">
        <v>0</v>
      </c>
      <c r="M49" s="495" t="s">
        <v>146</v>
      </c>
      <c r="N49" s="280" t="s">
        <v>146</v>
      </c>
      <c r="O49" s="496">
        <f>19*4</f>
        <v>76</v>
      </c>
      <c r="P49" s="280">
        <v>19</v>
      </c>
      <c r="Q49" s="280">
        <v>17</v>
      </c>
      <c r="R49" s="280">
        <v>19</v>
      </c>
      <c r="S49" s="280">
        <v>0</v>
      </c>
      <c r="T49" s="280">
        <v>7</v>
      </c>
      <c r="U49" s="280">
        <v>8</v>
      </c>
      <c r="V49" s="280">
        <v>1</v>
      </c>
      <c r="W49" s="280"/>
      <c r="X49" s="496">
        <v>19</v>
      </c>
      <c r="Y49" s="496">
        <v>36</v>
      </c>
      <c r="Z49" s="496">
        <v>5</v>
      </c>
      <c r="AA49" s="496">
        <v>5</v>
      </c>
      <c r="AB49" s="496">
        <f>+AA49+Z49</f>
        <v>10</v>
      </c>
      <c r="AC49" s="497">
        <f>+AB49/X49</f>
        <v>0.52631578947368418</v>
      </c>
      <c r="AD49" s="496">
        <f>+AB49+Y49</f>
        <v>46</v>
      </c>
      <c r="AE49" s="497">
        <f>+AD49/O49</f>
        <v>0.60526315789473684</v>
      </c>
      <c r="AF49" s="601"/>
      <c r="AG49" s="560"/>
      <c r="AH49" s="561"/>
      <c r="AI49" s="76" t="s">
        <v>147</v>
      </c>
      <c r="AJ49" s="179">
        <v>1</v>
      </c>
      <c r="AK49" s="182" t="s">
        <v>503</v>
      </c>
      <c r="AL49" s="182">
        <v>365</v>
      </c>
      <c r="AM49" s="179">
        <v>1</v>
      </c>
      <c r="AN49" s="121"/>
      <c r="AO49" s="121"/>
      <c r="AP49" s="179">
        <v>1</v>
      </c>
      <c r="AQ49" s="179">
        <v>1</v>
      </c>
      <c r="AR49" s="179">
        <v>1</v>
      </c>
      <c r="AS49" s="179">
        <v>1</v>
      </c>
      <c r="AT49" s="180" t="s">
        <v>140</v>
      </c>
      <c r="AU49" s="180" t="s">
        <v>482</v>
      </c>
      <c r="AV49" s="180" t="s">
        <v>614</v>
      </c>
      <c r="AW49" s="78">
        <v>257362582</v>
      </c>
      <c r="AX49" s="76" t="s">
        <v>544</v>
      </c>
      <c r="AY49" s="76" t="s">
        <v>543</v>
      </c>
      <c r="AZ49" s="77" t="s">
        <v>542</v>
      </c>
      <c r="BA49" s="77" t="s">
        <v>515</v>
      </c>
      <c r="BB49" s="121" t="s">
        <v>608</v>
      </c>
      <c r="BC49" s="181"/>
      <c r="BD49" s="669"/>
      <c r="BE49" s="669"/>
      <c r="BF49" s="672"/>
      <c r="BG49" s="180" t="s">
        <v>754</v>
      </c>
    </row>
    <row r="50" spans="1:59" s="14" customFormat="1" ht="43.5" x14ac:dyDescent="0.35">
      <c r="A50" s="536"/>
      <c r="B50" s="461"/>
      <c r="C50" s="26"/>
      <c r="D50" s="26"/>
      <c r="E50" s="26"/>
      <c r="F50" s="389"/>
      <c r="G50" s="389"/>
      <c r="H50" s="389"/>
      <c r="I50" s="389"/>
      <c r="J50" s="461"/>
      <c r="K50" s="496"/>
      <c r="L50" s="496"/>
      <c r="M50" s="495"/>
      <c r="N50" s="280"/>
      <c r="O50" s="496"/>
      <c r="P50" s="280"/>
      <c r="Q50" s="280"/>
      <c r="R50" s="280"/>
      <c r="S50" s="280"/>
      <c r="T50" s="280"/>
      <c r="U50" s="280"/>
      <c r="V50" s="280"/>
      <c r="W50" s="280"/>
      <c r="X50" s="496"/>
      <c r="Y50" s="496"/>
      <c r="Z50" s="496"/>
      <c r="AA50" s="496"/>
      <c r="AB50" s="496"/>
      <c r="AC50" s="497"/>
      <c r="AD50" s="496"/>
      <c r="AE50" s="497"/>
      <c r="AF50" s="601"/>
      <c r="AG50" s="560"/>
      <c r="AH50" s="561"/>
      <c r="AI50" s="76" t="s">
        <v>148</v>
      </c>
      <c r="AJ50" s="182">
        <v>18</v>
      </c>
      <c r="AK50" s="182" t="s">
        <v>503</v>
      </c>
      <c r="AL50" s="182">
        <v>365</v>
      </c>
      <c r="AM50" s="182">
        <v>18</v>
      </c>
      <c r="AN50" s="121"/>
      <c r="AO50" s="121"/>
      <c r="AP50" s="182">
        <v>5</v>
      </c>
      <c r="AQ50" s="183">
        <f>AP50/AM50</f>
        <v>0.27777777777777779</v>
      </c>
      <c r="AR50" s="182">
        <v>5</v>
      </c>
      <c r="AS50" s="179">
        <v>0.55000000000000004</v>
      </c>
      <c r="AT50" s="180" t="s">
        <v>140</v>
      </c>
      <c r="AU50" s="180" t="s">
        <v>482</v>
      </c>
      <c r="AV50" s="180" t="s">
        <v>615</v>
      </c>
      <c r="AW50" s="78">
        <v>200000000</v>
      </c>
      <c r="AX50" s="76" t="s">
        <v>545</v>
      </c>
      <c r="AY50" s="76" t="s">
        <v>543</v>
      </c>
      <c r="AZ50" s="77" t="s">
        <v>542</v>
      </c>
      <c r="BA50" s="77" t="s">
        <v>515</v>
      </c>
      <c r="BB50" s="121" t="s">
        <v>612</v>
      </c>
      <c r="BC50" s="181"/>
      <c r="BD50" s="669"/>
      <c r="BE50" s="669"/>
      <c r="BF50" s="672"/>
      <c r="BG50" s="180" t="s">
        <v>755</v>
      </c>
    </row>
    <row r="51" spans="1:59" s="14" customFormat="1" ht="45" customHeight="1" x14ac:dyDescent="0.35">
      <c r="A51" s="536"/>
      <c r="B51" s="461"/>
      <c r="C51" s="26"/>
      <c r="D51" s="26"/>
      <c r="E51" s="26"/>
      <c r="F51" s="389"/>
      <c r="G51" s="389"/>
      <c r="H51" s="389"/>
      <c r="I51" s="389"/>
      <c r="J51" s="461"/>
      <c r="K51" s="496"/>
      <c r="L51" s="496"/>
      <c r="M51" s="495"/>
      <c r="N51" s="280"/>
      <c r="O51" s="496"/>
      <c r="P51" s="280"/>
      <c r="Q51" s="280"/>
      <c r="R51" s="280"/>
      <c r="S51" s="280"/>
      <c r="T51" s="280"/>
      <c r="U51" s="280"/>
      <c r="V51" s="280"/>
      <c r="W51" s="280"/>
      <c r="X51" s="496"/>
      <c r="Y51" s="496"/>
      <c r="Z51" s="496"/>
      <c r="AA51" s="496"/>
      <c r="AB51" s="496"/>
      <c r="AC51" s="497"/>
      <c r="AD51" s="496"/>
      <c r="AE51" s="497"/>
      <c r="AF51" s="601"/>
      <c r="AG51" s="560"/>
      <c r="AH51" s="561"/>
      <c r="AI51" s="76" t="s">
        <v>149</v>
      </c>
      <c r="AJ51" s="182">
        <v>1</v>
      </c>
      <c r="AK51" s="182" t="s">
        <v>503</v>
      </c>
      <c r="AL51" s="182">
        <v>365</v>
      </c>
      <c r="AM51" s="182">
        <v>1</v>
      </c>
      <c r="AN51" s="121"/>
      <c r="AO51" s="121"/>
      <c r="AP51" s="182">
        <v>0</v>
      </c>
      <c r="AQ51" s="179">
        <v>0</v>
      </c>
      <c r="AR51" s="182">
        <v>0</v>
      </c>
      <c r="AS51" s="179">
        <v>0</v>
      </c>
      <c r="AT51" s="180" t="s">
        <v>140</v>
      </c>
      <c r="AU51" s="180" t="s">
        <v>482</v>
      </c>
      <c r="AV51" s="180"/>
      <c r="AW51" s="78"/>
      <c r="AX51" s="76"/>
      <c r="AY51" s="76"/>
      <c r="AZ51" s="77"/>
      <c r="BA51" s="77"/>
      <c r="BB51" s="121"/>
      <c r="BC51" s="77"/>
      <c r="BD51" s="669"/>
      <c r="BE51" s="669"/>
      <c r="BF51" s="672"/>
      <c r="BG51" s="208" t="s">
        <v>756</v>
      </c>
    </row>
    <row r="52" spans="1:59" s="14" customFormat="1" ht="45" customHeight="1" x14ac:dyDescent="0.35">
      <c r="A52" s="536"/>
      <c r="B52" s="461"/>
      <c r="C52" s="26"/>
      <c r="D52" s="26"/>
      <c r="E52" s="26"/>
      <c r="F52" s="389"/>
      <c r="G52" s="389"/>
      <c r="H52" s="389"/>
      <c r="I52" s="389"/>
      <c r="J52" s="241"/>
      <c r="K52" s="280"/>
      <c r="L52" s="280"/>
      <c r="M52" s="321"/>
      <c r="N52" s="280"/>
      <c r="O52" s="280"/>
      <c r="P52" s="280"/>
      <c r="Q52" s="280"/>
      <c r="R52" s="280"/>
      <c r="S52" s="280"/>
      <c r="T52" s="280"/>
      <c r="U52" s="280"/>
      <c r="V52" s="280"/>
      <c r="W52" s="280"/>
      <c r="X52" s="280"/>
      <c r="Y52" s="280"/>
      <c r="Z52" s="280"/>
      <c r="AA52" s="280"/>
      <c r="AB52" s="280"/>
      <c r="AC52" s="282"/>
      <c r="AD52" s="280"/>
      <c r="AE52" s="282"/>
      <c r="AF52" s="602"/>
      <c r="AG52" s="603" t="s">
        <v>599</v>
      </c>
      <c r="AH52" s="604"/>
      <c r="AI52" s="604"/>
      <c r="AJ52" s="604"/>
      <c r="AK52" s="604"/>
      <c r="AL52" s="604"/>
      <c r="AM52" s="604"/>
      <c r="AN52" s="604"/>
      <c r="AO52" s="604"/>
      <c r="AP52" s="604"/>
      <c r="AQ52" s="604"/>
      <c r="AR52" s="605"/>
      <c r="AS52" s="423">
        <f>AVERAGE(AS48:AS51)</f>
        <v>0.49</v>
      </c>
      <c r="AT52" s="180"/>
      <c r="AU52" s="180"/>
      <c r="AV52" s="180"/>
      <c r="AW52" s="78"/>
      <c r="AX52" s="76"/>
      <c r="AY52" s="76"/>
      <c r="AZ52" s="77"/>
      <c r="BA52" s="77"/>
      <c r="BB52" s="121"/>
      <c r="BC52" s="77"/>
      <c r="BD52" s="670"/>
      <c r="BE52" s="670"/>
      <c r="BF52" s="673"/>
      <c r="BG52" s="208"/>
    </row>
    <row r="53" spans="1:59" s="14" customFormat="1" ht="51" customHeight="1" x14ac:dyDescent="0.35">
      <c r="A53" s="536"/>
      <c r="B53" s="461"/>
      <c r="C53" s="26"/>
      <c r="D53" s="26"/>
      <c r="E53" s="26"/>
      <c r="F53" s="389"/>
      <c r="G53" s="389"/>
      <c r="H53" s="389"/>
      <c r="I53" s="389"/>
      <c r="J53" s="489" t="s">
        <v>48</v>
      </c>
      <c r="K53" s="489"/>
      <c r="L53" s="489"/>
      <c r="M53" s="489"/>
      <c r="N53" s="489"/>
      <c r="O53" s="489"/>
      <c r="P53" s="489"/>
      <c r="Q53" s="489"/>
      <c r="R53" s="489"/>
      <c r="S53" s="489"/>
      <c r="T53" s="489"/>
      <c r="U53" s="489"/>
      <c r="V53" s="489"/>
      <c r="W53" s="489"/>
      <c r="X53" s="489"/>
      <c r="Y53" s="489"/>
      <c r="Z53" s="489"/>
      <c r="AA53" s="489"/>
      <c r="AB53" s="489"/>
      <c r="AC53" s="284">
        <f>AVERAGE(AC3:AC51)</f>
        <v>0.70047551806345132</v>
      </c>
      <c r="AD53" s="343"/>
      <c r="AE53" s="285">
        <f>AVERAGE(AE3:AE51)</f>
        <v>0.72897729995721017</v>
      </c>
      <c r="AF53" s="76"/>
      <c r="AG53" s="395"/>
      <c r="AH53" s="76"/>
      <c r="AI53" s="76"/>
      <c r="AJ53" s="77"/>
      <c r="AK53" s="77"/>
      <c r="AL53" s="77"/>
      <c r="AM53" s="77"/>
      <c r="AN53" s="76"/>
      <c r="AO53" s="76"/>
      <c r="AP53" s="182"/>
      <c r="AQ53" s="179"/>
      <c r="AR53" s="182"/>
      <c r="AS53" s="179"/>
      <c r="AT53" s="180"/>
      <c r="AU53" s="180"/>
      <c r="AV53" s="180"/>
      <c r="AW53" s="78"/>
      <c r="AX53" s="76"/>
      <c r="AY53" s="76"/>
      <c r="AZ53" s="77"/>
      <c r="BA53" s="77"/>
      <c r="BB53" s="121"/>
      <c r="BC53" s="77"/>
      <c r="BD53" s="77"/>
      <c r="BE53" s="77"/>
      <c r="BF53" s="77"/>
      <c r="BG53" s="208"/>
    </row>
    <row r="54" spans="1:59" s="14" customFormat="1" ht="129.75" customHeight="1" x14ac:dyDescent="0.35">
      <c r="A54" s="536"/>
      <c r="B54" s="461"/>
      <c r="C54" s="26"/>
      <c r="D54" s="26"/>
      <c r="E54" s="26"/>
      <c r="F54" s="389"/>
      <c r="G54" s="389"/>
      <c r="H54" s="389"/>
      <c r="I54" s="389"/>
      <c r="J54" s="494" t="s">
        <v>150</v>
      </c>
      <c r="K54" s="42" t="s">
        <v>151</v>
      </c>
      <c r="L54" s="42" t="s">
        <v>152</v>
      </c>
      <c r="M54" s="322" t="s">
        <v>153</v>
      </c>
      <c r="N54" s="42" t="s">
        <v>153</v>
      </c>
      <c r="O54" s="42">
        <v>20230</v>
      </c>
      <c r="P54" s="42">
        <v>5057</v>
      </c>
      <c r="Q54" s="42">
        <v>695</v>
      </c>
      <c r="R54" s="42">
        <v>5057</v>
      </c>
      <c r="S54" s="42">
        <v>139</v>
      </c>
      <c r="T54" s="42">
        <v>489</v>
      </c>
      <c r="U54" s="42">
        <v>966</v>
      </c>
      <c r="V54" s="42">
        <v>820</v>
      </c>
      <c r="W54" s="42"/>
      <c r="X54" s="42">
        <v>5057</v>
      </c>
      <c r="Y54" s="42">
        <v>3315</v>
      </c>
      <c r="Z54" s="42">
        <v>540</v>
      </c>
      <c r="AA54" s="42">
        <v>640</v>
      </c>
      <c r="AB54" s="42">
        <f>+AA54+Z54</f>
        <v>1180</v>
      </c>
      <c r="AC54" s="301">
        <f>+AB54/X54</f>
        <v>0.23333992485663438</v>
      </c>
      <c r="AD54" s="42">
        <f>+AB54+Y54</f>
        <v>4495</v>
      </c>
      <c r="AE54" s="301">
        <f>+AD54/O54</f>
        <v>0.22219476025704399</v>
      </c>
      <c r="AF54" s="486" t="s">
        <v>596</v>
      </c>
      <c r="AG54" s="614">
        <v>2021130010157</v>
      </c>
      <c r="AH54" s="486" t="s">
        <v>154</v>
      </c>
      <c r="AI54" s="43" t="s">
        <v>155</v>
      </c>
      <c r="AJ54" s="42">
        <v>755</v>
      </c>
      <c r="AK54" s="42" t="s">
        <v>503</v>
      </c>
      <c r="AL54" s="42">
        <v>365</v>
      </c>
      <c r="AM54" s="42">
        <v>755</v>
      </c>
      <c r="AN54" s="42"/>
      <c r="AO54" s="42"/>
      <c r="AP54" s="42">
        <v>155</v>
      </c>
      <c r="AQ54" s="176">
        <v>0.20529801324503311</v>
      </c>
      <c r="AR54" s="42">
        <v>161</v>
      </c>
      <c r="AS54" s="176">
        <f>+(AP54+AR54)/AJ54</f>
        <v>0.41854304635761591</v>
      </c>
      <c r="AT54" s="43" t="s">
        <v>156</v>
      </c>
      <c r="AU54" s="43" t="s">
        <v>157</v>
      </c>
      <c r="AV54" s="44" t="s">
        <v>134</v>
      </c>
      <c r="AW54" s="161">
        <v>250000000</v>
      </c>
      <c r="AX54" s="44" t="s">
        <v>506</v>
      </c>
      <c r="AY54" s="44" t="s">
        <v>538</v>
      </c>
      <c r="AZ54" s="162" t="s">
        <v>537</v>
      </c>
      <c r="BA54" s="43" t="s">
        <v>515</v>
      </c>
      <c r="BB54" s="163" t="s">
        <v>608</v>
      </c>
      <c r="BC54" s="43"/>
      <c r="BD54" s="674">
        <v>701081233</v>
      </c>
      <c r="BE54" s="674">
        <v>437600000</v>
      </c>
      <c r="BF54" s="677">
        <f>+BE54/BD54</f>
        <v>0.62417873907059784</v>
      </c>
      <c r="BG54" s="43" t="s">
        <v>743</v>
      </c>
    </row>
    <row r="55" spans="1:59" s="14" customFormat="1" ht="69.75" customHeight="1" x14ac:dyDescent="0.35">
      <c r="A55" s="536"/>
      <c r="B55" s="461"/>
      <c r="C55" s="26"/>
      <c r="D55" s="26"/>
      <c r="E55" s="26"/>
      <c r="F55" s="389"/>
      <c r="G55" s="389"/>
      <c r="H55" s="389"/>
      <c r="I55" s="389"/>
      <c r="J55" s="494"/>
      <c r="K55" s="42" t="s">
        <v>158</v>
      </c>
      <c r="L55" s="42" t="s">
        <v>159</v>
      </c>
      <c r="M55" s="322" t="s">
        <v>160</v>
      </c>
      <c r="N55" s="42" t="s">
        <v>160</v>
      </c>
      <c r="O55" s="42">
        <v>1</v>
      </c>
      <c r="P55" s="42">
        <v>0.25</v>
      </c>
      <c r="Q55" s="42">
        <v>0.32</v>
      </c>
      <c r="R55" s="42">
        <v>0.25</v>
      </c>
      <c r="S55" s="42">
        <v>0</v>
      </c>
      <c r="T55" s="42">
        <v>0.17</v>
      </c>
      <c r="U55" s="42">
        <v>0.16</v>
      </c>
      <c r="V55" s="42">
        <v>0</v>
      </c>
      <c r="W55" s="42"/>
      <c r="X55" s="42">
        <v>0.25</v>
      </c>
      <c r="Y55" s="396">
        <v>1</v>
      </c>
      <c r="Z55" s="42">
        <v>0</v>
      </c>
      <c r="AA55" s="42">
        <v>0.33</v>
      </c>
      <c r="AB55" s="42">
        <f>+AA55</f>
        <v>0.33</v>
      </c>
      <c r="AC55" s="176">
        <f>+AB55</f>
        <v>0.33</v>
      </c>
      <c r="AD55" s="396">
        <v>1</v>
      </c>
      <c r="AE55" s="396">
        <f>+AD55</f>
        <v>1</v>
      </c>
      <c r="AF55" s="486"/>
      <c r="AG55" s="614"/>
      <c r="AH55" s="486"/>
      <c r="AI55" s="42" t="s">
        <v>617</v>
      </c>
      <c r="AJ55" s="42">
        <v>12</v>
      </c>
      <c r="AK55" s="42" t="s">
        <v>503</v>
      </c>
      <c r="AL55" s="42">
        <v>365</v>
      </c>
      <c r="AM55" s="42">
        <v>12</v>
      </c>
      <c r="AN55" s="42"/>
      <c r="AO55" s="42"/>
      <c r="AP55" s="42">
        <v>0</v>
      </c>
      <c r="AQ55" s="176">
        <v>0</v>
      </c>
      <c r="AR55" s="42">
        <v>4</v>
      </c>
      <c r="AS55" s="176">
        <f t="shared" ref="AS55:AS57" si="0">+(AP55+AR55)/AJ55</f>
        <v>0.33333333333333331</v>
      </c>
      <c r="AT55" s="43" t="s">
        <v>156</v>
      </c>
      <c r="AU55" s="43" t="s">
        <v>157</v>
      </c>
      <c r="AV55" s="44" t="s">
        <v>512</v>
      </c>
      <c r="AW55" s="161">
        <v>135129233</v>
      </c>
      <c r="AX55" s="44" t="s">
        <v>539</v>
      </c>
      <c r="AY55" s="44" t="s">
        <v>538</v>
      </c>
      <c r="AZ55" s="162" t="s">
        <v>537</v>
      </c>
      <c r="BA55" s="43" t="s">
        <v>515</v>
      </c>
      <c r="BB55" s="163" t="s">
        <v>608</v>
      </c>
      <c r="BC55" s="43"/>
      <c r="BD55" s="675"/>
      <c r="BE55" s="675"/>
      <c r="BF55" s="678"/>
      <c r="BG55" s="43" t="s">
        <v>744</v>
      </c>
    </row>
    <row r="56" spans="1:59" s="14" customFormat="1" ht="73.5" customHeight="1" x14ac:dyDescent="0.35">
      <c r="A56" s="536"/>
      <c r="B56" s="461"/>
      <c r="C56" s="26"/>
      <c r="D56" s="26"/>
      <c r="E56" s="26"/>
      <c r="F56" s="389"/>
      <c r="G56" s="389"/>
      <c r="H56" s="389"/>
      <c r="I56" s="389"/>
      <c r="J56" s="494"/>
      <c r="K56" s="42" t="s">
        <v>161</v>
      </c>
      <c r="L56" s="42">
        <v>0</v>
      </c>
      <c r="M56" s="322" t="s">
        <v>162</v>
      </c>
      <c r="N56" s="42" t="s">
        <v>162</v>
      </c>
      <c r="O56" s="42">
        <v>3021</v>
      </c>
      <c r="P56" s="42">
        <v>755</v>
      </c>
      <c r="Q56" s="42">
        <v>0</v>
      </c>
      <c r="R56" s="42">
        <v>755</v>
      </c>
      <c r="S56" s="42">
        <v>0</v>
      </c>
      <c r="T56" s="42">
        <v>99</v>
      </c>
      <c r="U56" s="42">
        <v>415</v>
      </c>
      <c r="V56" s="42">
        <v>210</v>
      </c>
      <c r="W56" s="42"/>
      <c r="X56" s="42">
        <v>755</v>
      </c>
      <c r="Y56" s="42">
        <v>741</v>
      </c>
      <c r="Z56" s="42">
        <v>155</v>
      </c>
      <c r="AA56" s="42">
        <v>161</v>
      </c>
      <c r="AB56" s="42">
        <f>+AA56+Z56</f>
        <v>316</v>
      </c>
      <c r="AC56" s="301">
        <f>+AB56/X56</f>
        <v>0.41854304635761591</v>
      </c>
      <c r="AD56" s="42">
        <f>+AB56+Y56</f>
        <v>1057</v>
      </c>
      <c r="AE56" s="301">
        <f>+AD56/O56</f>
        <v>0.34988414432307186</v>
      </c>
      <c r="AF56" s="486"/>
      <c r="AG56" s="614"/>
      <c r="AH56" s="486"/>
      <c r="AI56" s="42" t="s">
        <v>618</v>
      </c>
      <c r="AJ56" s="42">
        <v>5057</v>
      </c>
      <c r="AK56" s="42" t="s">
        <v>503</v>
      </c>
      <c r="AL56" s="42">
        <v>365</v>
      </c>
      <c r="AM56" s="42">
        <v>5057</v>
      </c>
      <c r="AN56" s="42"/>
      <c r="AO56" s="42"/>
      <c r="AP56" s="42">
        <v>540</v>
      </c>
      <c r="AQ56" s="176">
        <v>0.10678267747676488</v>
      </c>
      <c r="AR56" s="42">
        <v>640</v>
      </c>
      <c r="AS56" s="176">
        <f t="shared" si="0"/>
        <v>0.23333992485663438</v>
      </c>
      <c r="AT56" s="43" t="s">
        <v>156</v>
      </c>
      <c r="AU56" s="43" t="s">
        <v>157</v>
      </c>
      <c r="AV56" s="43"/>
      <c r="AW56" s="164"/>
      <c r="AX56" s="44"/>
      <c r="AY56" s="44"/>
      <c r="AZ56" s="162"/>
      <c r="BA56" s="43" t="s">
        <v>515</v>
      </c>
      <c r="BB56" s="163" t="s">
        <v>608</v>
      </c>
      <c r="BC56" s="43"/>
      <c r="BD56" s="675"/>
      <c r="BE56" s="675"/>
      <c r="BF56" s="678"/>
      <c r="BG56" s="43" t="s">
        <v>745</v>
      </c>
    </row>
    <row r="57" spans="1:59" s="14" customFormat="1" ht="126" customHeight="1" x14ac:dyDescent="0.35">
      <c r="A57" s="536"/>
      <c r="B57" s="461"/>
      <c r="C57" s="26"/>
      <c r="D57" s="26"/>
      <c r="E57" s="26"/>
      <c r="F57" s="389"/>
      <c r="G57" s="389"/>
      <c r="H57" s="389"/>
      <c r="I57" s="389"/>
      <c r="J57" s="494"/>
      <c r="K57" s="42" t="s">
        <v>163</v>
      </c>
      <c r="L57" s="42">
        <v>0</v>
      </c>
      <c r="M57" s="322" t="s">
        <v>164</v>
      </c>
      <c r="N57" s="42" t="s">
        <v>164</v>
      </c>
      <c r="O57" s="42">
        <v>400</v>
      </c>
      <c r="P57" s="42">
        <v>100</v>
      </c>
      <c r="Q57" s="42">
        <v>0</v>
      </c>
      <c r="R57" s="42">
        <v>100</v>
      </c>
      <c r="S57" s="42">
        <v>0</v>
      </c>
      <c r="T57" s="42">
        <v>0</v>
      </c>
      <c r="U57" s="42">
        <v>0</v>
      </c>
      <c r="V57" s="42">
        <v>0</v>
      </c>
      <c r="W57" s="42"/>
      <c r="X57" s="42">
        <v>100</v>
      </c>
      <c r="Y57" s="42">
        <v>51</v>
      </c>
      <c r="Z57" s="42">
        <v>0</v>
      </c>
      <c r="AA57" s="42">
        <v>0</v>
      </c>
      <c r="AB57" s="42">
        <v>0</v>
      </c>
      <c r="AC57" s="176">
        <v>0</v>
      </c>
      <c r="AD57" s="42">
        <f>+Y57</f>
        <v>51</v>
      </c>
      <c r="AE57" s="176">
        <f>+AD57/O57</f>
        <v>0.1275</v>
      </c>
      <c r="AF57" s="486"/>
      <c r="AG57" s="614"/>
      <c r="AH57" s="486"/>
      <c r="AI57" s="42" t="s">
        <v>619</v>
      </c>
      <c r="AJ57" s="42">
        <v>6100</v>
      </c>
      <c r="AK57" s="42" t="s">
        <v>503</v>
      </c>
      <c r="AL57" s="42">
        <v>365</v>
      </c>
      <c r="AM57" s="42">
        <v>6100</v>
      </c>
      <c r="AN57" s="42"/>
      <c r="AO57" s="42"/>
      <c r="AP57" s="42">
        <v>1388</v>
      </c>
      <c r="AQ57" s="176">
        <v>0.22754098360655739</v>
      </c>
      <c r="AR57" s="42">
        <v>1541</v>
      </c>
      <c r="AS57" s="176">
        <f t="shared" si="0"/>
        <v>0.48016393442622951</v>
      </c>
      <c r="AT57" s="43" t="s">
        <v>156</v>
      </c>
      <c r="AU57" s="43" t="s">
        <v>157</v>
      </c>
      <c r="AV57" s="43"/>
      <c r="AW57" s="164"/>
      <c r="AX57" s="44"/>
      <c r="AY57" s="44"/>
      <c r="AZ57" s="43"/>
      <c r="BA57" s="43"/>
      <c r="BB57" s="163"/>
      <c r="BC57" s="43"/>
      <c r="BD57" s="675"/>
      <c r="BE57" s="675"/>
      <c r="BF57" s="678"/>
      <c r="BG57" s="43" t="s">
        <v>744</v>
      </c>
    </row>
    <row r="58" spans="1:59" s="14" customFormat="1" ht="81" customHeight="1" x14ac:dyDescent="0.35">
      <c r="A58" s="536"/>
      <c r="B58" s="461"/>
      <c r="C58" s="26"/>
      <c r="D58" s="26"/>
      <c r="E58" s="26"/>
      <c r="F58" s="389"/>
      <c r="G58" s="389"/>
      <c r="H58" s="389"/>
      <c r="I58" s="389"/>
      <c r="J58" s="494"/>
      <c r="K58" s="485" t="s">
        <v>165</v>
      </c>
      <c r="L58" s="486">
        <v>0</v>
      </c>
      <c r="M58" s="487" t="s">
        <v>166</v>
      </c>
      <c r="N58" s="163" t="s">
        <v>166</v>
      </c>
      <c r="O58" s="486">
        <v>4</v>
      </c>
      <c r="P58" s="42">
        <v>1</v>
      </c>
      <c r="Q58" s="42">
        <v>0</v>
      </c>
      <c r="R58" s="42">
        <v>1</v>
      </c>
      <c r="S58" s="42">
        <v>0</v>
      </c>
      <c r="T58" s="42">
        <v>0</v>
      </c>
      <c r="U58" s="42">
        <v>0</v>
      </c>
      <c r="V58" s="42">
        <v>0</v>
      </c>
      <c r="W58" s="42"/>
      <c r="X58" s="486">
        <v>1</v>
      </c>
      <c r="Y58" s="486"/>
      <c r="Z58" s="486">
        <v>0</v>
      </c>
      <c r="AA58" s="486">
        <v>0</v>
      </c>
      <c r="AB58" s="486">
        <v>0</v>
      </c>
      <c r="AC58" s="488">
        <v>0</v>
      </c>
      <c r="AD58" s="486">
        <v>0</v>
      </c>
      <c r="AE58" s="486"/>
      <c r="AF58" s="486"/>
      <c r="AG58" s="614"/>
      <c r="AH58" s="486"/>
      <c r="AI58" s="42" t="s">
        <v>620</v>
      </c>
      <c r="AJ58" s="42">
        <v>1</v>
      </c>
      <c r="AK58" s="42" t="s">
        <v>503</v>
      </c>
      <c r="AL58" s="42">
        <v>365</v>
      </c>
      <c r="AM58" s="42">
        <v>1</v>
      </c>
      <c r="AN58" s="42"/>
      <c r="AO58" s="42"/>
      <c r="AP58" s="42">
        <v>0</v>
      </c>
      <c r="AQ58" s="176">
        <v>0</v>
      </c>
      <c r="AR58" s="42">
        <v>0</v>
      </c>
      <c r="AS58" s="176">
        <f>+(AP58+AR58)/AJ58</f>
        <v>0</v>
      </c>
      <c r="AT58" s="43" t="s">
        <v>156</v>
      </c>
      <c r="AU58" s="43" t="s">
        <v>157</v>
      </c>
      <c r="AV58" s="43"/>
      <c r="AW58" s="164"/>
      <c r="AX58" s="44"/>
      <c r="AY58" s="44"/>
      <c r="AZ58" s="43"/>
      <c r="BA58" s="43"/>
      <c r="BB58" s="163"/>
      <c r="BC58" s="43"/>
      <c r="BD58" s="675"/>
      <c r="BE58" s="675"/>
      <c r="BF58" s="678"/>
      <c r="BG58" s="43" t="s">
        <v>746</v>
      </c>
    </row>
    <row r="59" spans="1:59" s="14" customFormat="1" ht="72.5" x14ac:dyDescent="0.35">
      <c r="A59" s="536"/>
      <c r="B59" s="461"/>
      <c r="C59" s="26"/>
      <c r="D59" s="26"/>
      <c r="E59" s="26"/>
      <c r="F59" s="389"/>
      <c r="G59" s="389"/>
      <c r="H59" s="389"/>
      <c r="I59" s="389"/>
      <c r="J59" s="494"/>
      <c r="K59" s="485"/>
      <c r="L59" s="486"/>
      <c r="M59" s="487"/>
      <c r="N59" s="163"/>
      <c r="O59" s="486"/>
      <c r="P59" s="42"/>
      <c r="Q59" s="42"/>
      <c r="R59" s="42"/>
      <c r="S59" s="42"/>
      <c r="T59" s="42"/>
      <c r="U59" s="42"/>
      <c r="V59" s="42"/>
      <c r="W59" s="42"/>
      <c r="X59" s="486"/>
      <c r="Y59" s="486"/>
      <c r="Z59" s="486"/>
      <c r="AA59" s="486"/>
      <c r="AB59" s="486"/>
      <c r="AC59" s="486"/>
      <c r="AD59" s="486"/>
      <c r="AE59" s="486"/>
      <c r="AF59" s="486"/>
      <c r="AG59" s="614"/>
      <c r="AH59" s="486"/>
      <c r="AI59" s="42" t="s">
        <v>621</v>
      </c>
      <c r="AJ59" s="42">
        <v>250</v>
      </c>
      <c r="AK59" s="42" t="s">
        <v>503</v>
      </c>
      <c r="AL59" s="42">
        <v>365</v>
      </c>
      <c r="AM59" s="42">
        <v>250</v>
      </c>
      <c r="AN59" s="42"/>
      <c r="AO59" s="42"/>
      <c r="AP59" s="42">
        <v>0</v>
      </c>
      <c r="AQ59" s="176">
        <v>0</v>
      </c>
      <c r="AR59" s="42">
        <v>67</v>
      </c>
      <c r="AS59" s="176">
        <f>+(AP59+AR59)/AJ59</f>
        <v>0.26800000000000002</v>
      </c>
      <c r="AT59" s="43"/>
      <c r="AU59" s="43"/>
      <c r="AV59" s="43"/>
      <c r="AW59" s="164"/>
      <c r="AX59" s="44"/>
      <c r="AY59" s="44"/>
      <c r="AZ59" s="43"/>
      <c r="BA59" s="43"/>
      <c r="BB59" s="163"/>
      <c r="BC59" s="43"/>
      <c r="BD59" s="675"/>
      <c r="BE59" s="675"/>
      <c r="BF59" s="678"/>
      <c r="BG59" s="43" t="s">
        <v>744</v>
      </c>
    </row>
    <row r="60" spans="1:59" s="14" customFormat="1" ht="72.5" x14ac:dyDescent="0.35">
      <c r="A60" s="536"/>
      <c r="B60" s="461"/>
      <c r="C60" s="26"/>
      <c r="D60" s="26"/>
      <c r="E60" s="26"/>
      <c r="F60" s="389"/>
      <c r="G60" s="389"/>
      <c r="H60" s="389"/>
      <c r="I60" s="389"/>
      <c r="J60" s="494"/>
      <c r="K60" s="485"/>
      <c r="L60" s="486"/>
      <c r="M60" s="487"/>
      <c r="N60" s="163"/>
      <c r="O60" s="486"/>
      <c r="P60" s="42"/>
      <c r="Q60" s="42"/>
      <c r="R60" s="42"/>
      <c r="S60" s="42"/>
      <c r="T60" s="42"/>
      <c r="U60" s="42"/>
      <c r="V60" s="42"/>
      <c r="W60" s="42"/>
      <c r="X60" s="486"/>
      <c r="Y60" s="486"/>
      <c r="Z60" s="486"/>
      <c r="AA60" s="486"/>
      <c r="AB60" s="486"/>
      <c r="AC60" s="486"/>
      <c r="AD60" s="486"/>
      <c r="AE60" s="486"/>
      <c r="AF60" s="486"/>
      <c r="AG60" s="614"/>
      <c r="AH60" s="486"/>
      <c r="AI60" s="42" t="s">
        <v>622</v>
      </c>
      <c r="AJ60" s="42">
        <v>50</v>
      </c>
      <c r="AK60" s="42" t="s">
        <v>503</v>
      </c>
      <c r="AL60" s="42">
        <v>365</v>
      </c>
      <c r="AM60" s="42">
        <v>50</v>
      </c>
      <c r="AN60" s="42"/>
      <c r="AO60" s="42"/>
      <c r="AP60" s="42">
        <v>9</v>
      </c>
      <c r="AQ60" s="176">
        <v>0.18</v>
      </c>
      <c r="AR60" s="42">
        <v>9</v>
      </c>
      <c r="AS60" s="176">
        <f>+(AP60+AR60)/AJ60</f>
        <v>0.36</v>
      </c>
      <c r="AT60" s="43"/>
      <c r="AU60" s="43"/>
      <c r="AV60" s="43"/>
      <c r="AW60" s="164"/>
      <c r="AX60" s="44"/>
      <c r="AY60" s="44"/>
      <c r="AZ60" s="43"/>
      <c r="BA60" s="43"/>
      <c r="BB60" s="163"/>
      <c r="BC60" s="43"/>
      <c r="BD60" s="675"/>
      <c r="BE60" s="675"/>
      <c r="BF60" s="678"/>
      <c r="BG60" s="43" t="s">
        <v>744</v>
      </c>
    </row>
    <row r="61" spans="1:59" s="14" customFormat="1" ht="87" x14ac:dyDescent="0.35">
      <c r="A61" s="536"/>
      <c r="B61" s="461"/>
      <c r="C61" s="26"/>
      <c r="D61" s="26"/>
      <c r="E61" s="26"/>
      <c r="F61" s="389"/>
      <c r="G61" s="389"/>
      <c r="H61" s="389"/>
      <c r="I61" s="389"/>
      <c r="J61" s="494"/>
      <c r="K61" s="485"/>
      <c r="L61" s="486"/>
      <c r="M61" s="487"/>
      <c r="N61" s="163"/>
      <c r="O61" s="486"/>
      <c r="P61" s="42"/>
      <c r="Q61" s="42"/>
      <c r="R61" s="42"/>
      <c r="S61" s="42"/>
      <c r="T61" s="42"/>
      <c r="U61" s="42"/>
      <c r="V61" s="42"/>
      <c r="W61" s="42"/>
      <c r="X61" s="486"/>
      <c r="Y61" s="486"/>
      <c r="Z61" s="486"/>
      <c r="AA61" s="486"/>
      <c r="AB61" s="486"/>
      <c r="AC61" s="486"/>
      <c r="AD61" s="486"/>
      <c r="AE61" s="486"/>
      <c r="AF61" s="486"/>
      <c r="AG61" s="614"/>
      <c r="AH61" s="486"/>
      <c r="AI61" s="42" t="s">
        <v>623</v>
      </c>
      <c r="AJ61" s="42">
        <v>100</v>
      </c>
      <c r="AK61" s="42" t="s">
        <v>503</v>
      </c>
      <c r="AL61" s="42">
        <v>365</v>
      </c>
      <c r="AM61" s="42">
        <v>100</v>
      </c>
      <c r="AN61" s="42"/>
      <c r="AO61" s="42"/>
      <c r="AP61" s="42">
        <v>0</v>
      </c>
      <c r="AQ61" s="176">
        <v>0</v>
      </c>
      <c r="AR61" s="42">
        <v>0</v>
      </c>
      <c r="AS61" s="176">
        <f t="shared" ref="AS61" si="1">+(AP61+AR61)/AJ61</f>
        <v>0</v>
      </c>
      <c r="AT61" s="43"/>
      <c r="AU61" s="43"/>
      <c r="AV61" s="43"/>
      <c r="AW61" s="164"/>
      <c r="AX61" s="44"/>
      <c r="AY61" s="44"/>
      <c r="AZ61" s="43"/>
      <c r="BA61" s="43"/>
      <c r="BB61" s="163"/>
      <c r="BC61" s="43"/>
      <c r="BD61" s="675"/>
      <c r="BE61" s="675"/>
      <c r="BF61" s="678"/>
      <c r="BG61" s="43" t="s">
        <v>746</v>
      </c>
    </row>
    <row r="62" spans="1:59" s="14" customFormat="1" ht="66" customHeight="1" x14ac:dyDescent="0.35">
      <c r="A62" s="536"/>
      <c r="B62" s="461"/>
      <c r="C62" s="26"/>
      <c r="D62" s="26"/>
      <c r="E62" s="26"/>
      <c r="F62" s="389"/>
      <c r="G62" s="389"/>
      <c r="H62" s="389"/>
      <c r="I62" s="389"/>
      <c r="J62" s="494"/>
      <c r="K62" s="43"/>
      <c r="L62" s="42"/>
      <c r="M62" s="322"/>
      <c r="N62" s="163"/>
      <c r="O62" s="42"/>
      <c r="P62" s="42"/>
      <c r="Q62" s="42"/>
      <c r="R62" s="42"/>
      <c r="S62" s="42"/>
      <c r="T62" s="42"/>
      <c r="U62" s="42"/>
      <c r="V62" s="42"/>
      <c r="W62" s="42"/>
      <c r="X62" s="42"/>
      <c r="Y62" s="42"/>
      <c r="Z62" s="42"/>
      <c r="AA62" s="42"/>
      <c r="AB62" s="42"/>
      <c r="AC62" s="42"/>
      <c r="AD62" s="42"/>
      <c r="AE62" s="42"/>
      <c r="AF62" s="580" t="s">
        <v>596</v>
      </c>
      <c r="AG62" s="581"/>
      <c r="AH62" s="581"/>
      <c r="AI62" s="581"/>
      <c r="AJ62" s="581"/>
      <c r="AK62" s="581"/>
      <c r="AL62" s="581"/>
      <c r="AM62" s="581"/>
      <c r="AN62" s="581"/>
      <c r="AO62" s="581"/>
      <c r="AP62" s="581"/>
      <c r="AQ62" s="581"/>
      <c r="AR62" s="582"/>
      <c r="AS62" s="435">
        <f>AVERAGE(AS54:AS61)</f>
        <v>0.26167252987172662</v>
      </c>
      <c r="AT62" s="43"/>
      <c r="AU62" s="43"/>
      <c r="AV62" s="43"/>
      <c r="AW62" s="164"/>
      <c r="AX62" s="44"/>
      <c r="AY62" s="44"/>
      <c r="AZ62" s="43"/>
      <c r="BA62" s="43"/>
      <c r="BB62" s="163"/>
      <c r="BC62" s="43"/>
      <c r="BD62" s="675"/>
      <c r="BE62" s="675"/>
      <c r="BF62" s="678"/>
      <c r="BG62" s="43"/>
    </row>
    <row r="63" spans="1:59" s="14" customFormat="1" ht="96.75" customHeight="1" x14ac:dyDescent="0.35">
      <c r="A63" s="536"/>
      <c r="B63" s="461"/>
      <c r="C63" s="26"/>
      <c r="D63" s="26"/>
      <c r="E63" s="26"/>
      <c r="F63" s="389"/>
      <c r="G63" s="389"/>
      <c r="H63" s="389"/>
      <c r="I63" s="389"/>
      <c r="J63" s="494"/>
      <c r="K63" s="469" t="s">
        <v>167</v>
      </c>
      <c r="L63" s="469" t="s">
        <v>168</v>
      </c>
      <c r="M63" s="471" t="s">
        <v>169</v>
      </c>
      <c r="N63" s="28" t="s">
        <v>169</v>
      </c>
      <c r="O63" s="469">
        <v>40</v>
      </c>
      <c r="P63" s="28">
        <v>40</v>
      </c>
      <c r="Q63" s="28">
        <v>40</v>
      </c>
      <c r="R63" s="28">
        <v>40</v>
      </c>
      <c r="S63" s="28">
        <v>1</v>
      </c>
      <c r="T63" s="28">
        <v>18</v>
      </c>
      <c r="U63" s="28">
        <v>12</v>
      </c>
      <c r="V63" s="28">
        <v>9</v>
      </c>
      <c r="W63" s="28"/>
      <c r="X63" s="469">
        <v>40</v>
      </c>
      <c r="Y63" s="469">
        <v>80</v>
      </c>
      <c r="Z63" s="469">
        <v>15</v>
      </c>
      <c r="AA63" s="469">
        <v>6</v>
      </c>
      <c r="AB63" s="469">
        <f>+AA63+Z63</f>
        <v>21</v>
      </c>
      <c r="AC63" s="474">
        <f>+AB63/X63</f>
        <v>0.52500000000000002</v>
      </c>
      <c r="AD63" s="469">
        <f>+AB63+Y63</f>
        <v>101</v>
      </c>
      <c r="AE63" s="474">
        <v>1</v>
      </c>
      <c r="AF63" s="571" t="s">
        <v>170</v>
      </c>
      <c r="AG63" s="606">
        <v>2020130010177</v>
      </c>
      <c r="AH63" s="571" t="s">
        <v>171</v>
      </c>
      <c r="AI63" s="28" t="s">
        <v>624</v>
      </c>
      <c r="AJ63" s="28">
        <v>40</v>
      </c>
      <c r="AK63" s="28" t="s">
        <v>503</v>
      </c>
      <c r="AL63" s="28">
        <v>365</v>
      </c>
      <c r="AM63" s="28">
        <v>40</v>
      </c>
      <c r="AN63" s="28"/>
      <c r="AO63" s="28"/>
      <c r="AP63" s="28">
        <v>15</v>
      </c>
      <c r="AQ63" s="173">
        <f>+AP63/AJ63</f>
        <v>0.375</v>
      </c>
      <c r="AR63" s="209">
        <v>6</v>
      </c>
      <c r="AS63" s="210">
        <v>0.52500000000000002</v>
      </c>
      <c r="AT63" s="27" t="s">
        <v>172</v>
      </c>
      <c r="AU63" s="27" t="s">
        <v>173</v>
      </c>
      <c r="AV63" s="27" t="s">
        <v>613</v>
      </c>
      <c r="AW63" s="82">
        <v>315952000</v>
      </c>
      <c r="AX63" s="30" t="s">
        <v>532</v>
      </c>
      <c r="AY63" s="30" t="s">
        <v>547</v>
      </c>
      <c r="AZ63" s="27" t="s">
        <v>546</v>
      </c>
      <c r="BA63" s="27" t="s">
        <v>515</v>
      </c>
      <c r="BB63" s="16" t="s">
        <v>608</v>
      </c>
      <c r="BC63" s="27"/>
      <c r="BD63" s="675"/>
      <c r="BE63" s="675"/>
      <c r="BF63" s="678"/>
      <c r="BG63" s="30" t="s">
        <v>757</v>
      </c>
    </row>
    <row r="64" spans="1:59" s="14" customFormat="1" ht="69" customHeight="1" x14ac:dyDescent="0.35">
      <c r="A64" s="536"/>
      <c r="B64" s="461"/>
      <c r="C64" s="26"/>
      <c r="D64" s="26"/>
      <c r="E64" s="26"/>
      <c r="F64" s="389"/>
      <c r="G64" s="389"/>
      <c r="H64" s="389"/>
      <c r="I64" s="389"/>
      <c r="J64" s="494"/>
      <c r="K64" s="469"/>
      <c r="L64" s="469"/>
      <c r="M64" s="471"/>
      <c r="N64" s="28"/>
      <c r="O64" s="469"/>
      <c r="P64" s="28"/>
      <c r="Q64" s="28"/>
      <c r="R64" s="28"/>
      <c r="S64" s="28"/>
      <c r="T64" s="28"/>
      <c r="U64" s="28"/>
      <c r="V64" s="28"/>
      <c r="W64" s="28"/>
      <c r="X64" s="469"/>
      <c r="Y64" s="469"/>
      <c r="Z64" s="469"/>
      <c r="AA64" s="469"/>
      <c r="AB64" s="469"/>
      <c r="AC64" s="474"/>
      <c r="AD64" s="469"/>
      <c r="AE64" s="474"/>
      <c r="AF64" s="572"/>
      <c r="AG64" s="607"/>
      <c r="AH64" s="573"/>
      <c r="AI64" s="28" t="s">
        <v>625</v>
      </c>
      <c r="AJ64" s="28">
        <v>11.7</v>
      </c>
      <c r="AK64" s="28" t="s">
        <v>503</v>
      </c>
      <c r="AL64" s="28">
        <v>365</v>
      </c>
      <c r="AM64" s="28">
        <v>11.7</v>
      </c>
      <c r="AN64" s="28"/>
      <c r="AO64" s="28"/>
      <c r="AP64" s="28">
        <v>0</v>
      </c>
      <c r="AQ64" s="173">
        <v>0</v>
      </c>
      <c r="AR64" s="212">
        <v>3</v>
      </c>
      <c r="AS64" s="173">
        <v>0.5</v>
      </c>
      <c r="AT64" s="27" t="s">
        <v>172</v>
      </c>
      <c r="AU64" s="27" t="s">
        <v>173</v>
      </c>
      <c r="AV64" s="27"/>
      <c r="AW64" s="82"/>
      <c r="AX64" s="30"/>
      <c r="AY64" s="30"/>
      <c r="AZ64" s="27"/>
      <c r="BA64" s="27" t="s">
        <v>515</v>
      </c>
      <c r="BB64" s="16" t="s">
        <v>627</v>
      </c>
      <c r="BC64" s="27"/>
      <c r="BD64" s="675"/>
      <c r="BE64" s="675"/>
      <c r="BF64" s="678"/>
      <c r="BG64" s="16" t="s">
        <v>758</v>
      </c>
    </row>
    <row r="65" spans="1:59" s="14" customFormat="1" ht="69" customHeight="1" x14ac:dyDescent="0.35">
      <c r="A65" s="536"/>
      <c r="B65" s="461"/>
      <c r="C65" s="26"/>
      <c r="D65" s="26"/>
      <c r="E65" s="26"/>
      <c r="F65" s="389"/>
      <c r="G65" s="389"/>
      <c r="H65" s="389"/>
      <c r="I65" s="389"/>
      <c r="J65" s="281"/>
      <c r="K65" s="28"/>
      <c r="L65" s="28"/>
      <c r="M65" s="325"/>
      <c r="N65" s="28"/>
      <c r="O65" s="28"/>
      <c r="P65" s="28"/>
      <c r="Q65" s="28"/>
      <c r="R65" s="28"/>
      <c r="S65" s="28"/>
      <c r="T65" s="28"/>
      <c r="U65" s="28"/>
      <c r="V65" s="28"/>
      <c r="W65" s="28"/>
      <c r="X65" s="28"/>
      <c r="Y65" s="28"/>
      <c r="Z65" s="28"/>
      <c r="AA65" s="28"/>
      <c r="AB65" s="28"/>
      <c r="AC65" s="173"/>
      <c r="AD65" s="28"/>
      <c r="AE65" s="173"/>
      <c r="AF65" s="573"/>
      <c r="AG65" s="608" t="s">
        <v>170</v>
      </c>
      <c r="AH65" s="609"/>
      <c r="AI65" s="609"/>
      <c r="AJ65" s="609"/>
      <c r="AK65" s="609"/>
      <c r="AL65" s="609"/>
      <c r="AM65" s="609"/>
      <c r="AN65" s="609"/>
      <c r="AO65" s="609"/>
      <c r="AP65" s="609"/>
      <c r="AQ65" s="609"/>
      <c r="AR65" s="610"/>
      <c r="AS65" s="304">
        <f>AVERAGE(AS63:AS64)</f>
        <v>0.51249999999999996</v>
      </c>
      <c r="AT65" s="27"/>
      <c r="AU65" s="27"/>
      <c r="AV65" s="27"/>
      <c r="AW65" s="82"/>
      <c r="AX65" s="30"/>
      <c r="AY65" s="30"/>
      <c r="AZ65" s="27"/>
      <c r="BA65" s="27"/>
      <c r="BB65" s="16"/>
      <c r="BC65" s="27"/>
      <c r="BD65" s="676"/>
      <c r="BE65" s="676"/>
      <c r="BF65" s="679"/>
      <c r="BG65" s="16"/>
    </row>
    <row r="66" spans="1:59" s="14" customFormat="1" ht="69" customHeight="1" x14ac:dyDescent="0.35">
      <c r="A66" s="536"/>
      <c r="B66" s="461"/>
      <c r="C66" s="26"/>
      <c r="D66" s="26"/>
      <c r="E66" s="26"/>
      <c r="F66" s="389"/>
      <c r="G66" s="389"/>
      <c r="H66" s="389"/>
      <c r="I66" s="389"/>
      <c r="J66" s="468" t="s">
        <v>150</v>
      </c>
      <c r="K66" s="468"/>
      <c r="L66" s="468"/>
      <c r="M66" s="468"/>
      <c r="N66" s="468"/>
      <c r="O66" s="468"/>
      <c r="P66" s="468"/>
      <c r="Q66" s="468"/>
      <c r="R66" s="468"/>
      <c r="S66" s="468"/>
      <c r="T66" s="468"/>
      <c r="U66" s="468"/>
      <c r="V66" s="468"/>
      <c r="W66" s="468"/>
      <c r="X66" s="468"/>
      <c r="Y66" s="468"/>
      <c r="Z66" s="468"/>
      <c r="AA66" s="468"/>
      <c r="AB66" s="468"/>
      <c r="AC66" s="303">
        <f>AVERAGE(AC54:AC64)</f>
        <v>0.25114716186904174</v>
      </c>
      <c r="AD66" s="343"/>
      <c r="AE66" s="283">
        <f>AVERAGE(AE54:AE64)</f>
        <v>0.5399157809160231</v>
      </c>
      <c r="AF66" s="30"/>
      <c r="AG66" s="97"/>
      <c r="AH66" s="28"/>
      <c r="AI66" s="28"/>
      <c r="AJ66" s="28"/>
      <c r="AK66" s="28"/>
      <c r="AL66" s="28"/>
      <c r="AM66" s="28"/>
      <c r="AN66" s="28"/>
      <c r="AO66" s="28"/>
      <c r="AP66" s="28"/>
      <c r="AQ66" s="173"/>
      <c r="AR66" s="212"/>
      <c r="AS66" s="173"/>
      <c r="AT66" s="27"/>
      <c r="AU66" s="27"/>
      <c r="AV66" s="27"/>
      <c r="AW66" s="82"/>
      <c r="AX66" s="30"/>
      <c r="AY66" s="30"/>
      <c r="AZ66" s="27"/>
      <c r="BA66" s="27"/>
      <c r="BB66" s="16"/>
      <c r="BC66" s="27"/>
      <c r="BD66" s="27"/>
      <c r="BE66" s="27"/>
      <c r="BF66" s="27"/>
      <c r="BG66" s="16"/>
    </row>
    <row r="67" spans="1:59" s="14" customFormat="1" ht="63" customHeight="1" x14ac:dyDescent="0.35">
      <c r="A67" s="536"/>
      <c r="B67" s="461"/>
      <c r="C67" s="26"/>
      <c r="D67" s="26"/>
      <c r="E67" s="26"/>
      <c r="F67" s="389"/>
      <c r="G67" s="389"/>
      <c r="H67" s="389"/>
      <c r="I67" s="389"/>
      <c r="J67" s="461" t="s">
        <v>174</v>
      </c>
      <c r="K67" s="276" t="s">
        <v>175</v>
      </c>
      <c r="L67" s="276">
        <v>0</v>
      </c>
      <c r="M67" s="323" t="s">
        <v>827</v>
      </c>
      <c r="N67" s="276" t="s">
        <v>633</v>
      </c>
      <c r="O67" s="276" t="s">
        <v>798</v>
      </c>
      <c r="P67" s="276">
        <v>4.99</v>
      </c>
      <c r="Q67" s="276">
        <v>0</v>
      </c>
      <c r="R67" s="276">
        <v>4.99</v>
      </c>
      <c r="S67" s="276">
        <v>0</v>
      </c>
      <c r="T67" s="276">
        <v>0</v>
      </c>
      <c r="U67" s="276">
        <v>0</v>
      </c>
      <c r="V67" s="276">
        <v>0</v>
      </c>
      <c r="W67" s="276"/>
      <c r="X67" s="276" t="s">
        <v>798</v>
      </c>
      <c r="Y67" s="276" t="s">
        <v>798</v>
      </c>
      <c r="Z67" s="276" t="s">
        <v>799</v>
      </c>
      <c r="AA67" s="276" t="s">
        <v>799</v>
      </c>
      <c r="AB67" s="276" t="s">
        <v>799</v>
      </c>
      <c r="AC67" s="100">
        <v>0.5</v>
      </c>
      <c r="AD67" s="276" t="s">
        <v>799</v>
      </c>
      <c r="AE67" s="305">
        <v>0.65300000000000002</v>
      </c>
      <c r="AF67" s="589" t="s">
        <v>176</v>
      </c>
      <c r="AG67" s="611">
        <v>2020130010169</v>
      </c>
      <c r="AH67" s="589" t="s">
        <v>177</v>
      </c>
      <c r="AI67" s="83" t="s">
        <v>629</v>
      </c>
      <c r="AJ67" s="85">
        <v>1</v>
      </c>
      <c r="AK67" s="85" t="s">
        <v>503</v>
      </c>
      <c r="AL67" s="85">
        <v>365</v>
      </c>
      <c r="AM67" s="85">
        <v>1</v>
      </c>
      <c r="AN67" s="83"/>
      <c r="AO67" s="83"/>
      <c r="AP67" s="276">
        <v>0</v>
      </c>
      <c r="AQ67" s="100">
        <v>0</v>
      </c>
      <c r="AR67" s="276">
        <v>0</v>
      </c>
      <c r="AS67" s="100">
        <f>+(AP67+AR67)/AJ67</f>
        <v>0</v>
      </c>
      <c r="AT67" s="85" t="s">
        <v>140</v>
      </c>
      <c r="AU67" s="85" t="s">
        <v>178</v>
      </c>
      <c r="AV67" s="85" t="s">
        <v>628</v>
      </c>
      <c r="AW67" s="86">
        <v>225689093</v>
      </c>
      <c r="AX67" s="84" t="s">
        <v>532</v>
      </c>
      <c r="AY67" s="84" t="s">
        <v>551</v>
      </c>
      <c r="AZ67" s="85" t="s">
        <v>550</v>
      </c>
      <c r="BA67" s="85" t="s">
        <v>515</v>
      </c>
      <c r="BB67" s="123" t="s">
        <v>608</v>
      </c>
      <c r="BC67" s="85"/>
      <c r="BD67" s="674">
        <v>908550195</v>
      </c>
      <c r="BE67" s="674">
        <v>333500000</v>
      </c>
      <c r="BF67" s="677">
        <f>+BE67/BD67</f>
        <v>0.36706832691836028</v>
      </c>
      <c r="BG67" s="85" t="s">
        <v>759</v>
      </c>
    </row>
    <row r="68" spans="1:59" s="14" customFormat="1" ht="58.5" customHeight="1" x14ac:dyDescent="0.35">
      <c r="A68" s="536"/>
      <c r="B68" s="461"/>
      <c r="C68" s="26"/>
      <c r="D68" s="26"/>
      <c r="E68" s="26"/>
      <c r="F68" s="389"/>
      <c r="G68" s="389"/>
      <c r="H68" s="389"/>
      <c r="I68" s="389"/>
      <c r="J68" s="461"/>
      <c r="K68" s="472" t="s">
        <v>179</v>
      </c>
      <c r="L68" s="472">
        <v>0</v>
      </c>
      <c r="M68" s="473" t="s">
        <v>180</v>
      </c>
      <c r="N68" s="83" t="s">
        <v>180</v>
      </c>
      <c r="O68" s="472">
        <f>48*4</f>
        <v>192</v>
      </c>
      <c r="P68" s="276">
        <v>48</v>
      </c>
      <c r="Q68" s="276">
        <v>0</v>
      </c>
      <c r="R68" s="276">
        <v>48</v>
      </c>
      <c r="S68" s="276">
        <v>0</v>
      </c>
      <c r="T68" s="276">
        <v>0</v>
      </c>
      <c r="U68" s="276">
        <v>0</v>
      </c>
      <c r="V68" s="276">
        <v>0</v>
      </c>
      <c r="W68" s="276"/>
      <c r="X68" s="472">
        <v>48</v>
      </c>
      <c r="Y68" s="472">
        <v>0</v>
      </c>
      <c r="Z68" s="472">
        <v>3</v>
      </c>
      <c r="AA68" s="472">
        <v>12</v>
      </c>
      <c r="AB68" s="472">
        <f>+AA68+Z68</f>
        <v>15</v>
      </c>
      <c r="AC68" s="475">
        <f>+AB68/X68</f>
        <v>0.3125</v>
      </c>
      <c r="AD68" s="472">
        <f>+AB68+Y68</f>
        <v>15</v>
      </c>
      <c r="AE68" s="476">
        <f>+AD68/O68</f>
        <v>7.8125E-2</v>
      </c>
      <c r="AF68" s="590"/>
      <c r="AG68" s="612"/>
      <c r="AH68" s="590"/>
      <c r="AI68" s="83" t="s">
        <v>630</v>
      </c>
      <c r="AJ68" s="85">
        <v>900</v>
      </c>
      <c r="AK68" s="85" t="s">
        <v>503</v>
      </c>
      <c r="AL68" s="85">
        <v>365</v>
      </c>
      <c r="AM68" s="85">
        <v>900</v>
      </c>
      <c r="AN68" s="83"/>
      <c r="AO68" s="83"/>
      <c r="AP68" s="276">
        <v>185</v>
      </c>
      <c r="AQ68" s="100">
        <v>0.20555555555555555</v>
      </c>
      <c r="AR68" s="276">
        <v>336</v>
      </c>
      <c r="AS68" s="100">
        <f t="shared" ref="AS68:AS71" si="2">+(AP68+AR68)/AJ68</f>
        <v>0.5788888888888889</v>
      </c>
      <c r="AT68" s="85" t="s">
        <v>140</v>
      </c>
      <c r="AU68" s="85" t="s">
        <v>178</v>
      </c>
      <c r="AV68" s="85"/>
      <c r="AW68" s="86"/>
      <c r="AX68" s="84"/>
      <c r="AY68" s="84"/>
      <c r="AZ68" s="85"/>
      <c r="BA68" s="85" t="s">
        <v>515</v>
      </c>
      <c r="BB68" s="123" t="s">
        <v>608</v>
      </c>
      <c r="BC68" s="85"/>
      <c r="BD68" s="675"/>
      <c r="BE68" s="675"/>
      <c r="BF68" s="678"/>
      <c r="BG68" s="85" t="s">
        <v>760</v>
      </c>
    </row>
    <row r="69" spans="1:59" s="14" customFormat="1" ht="55.4" customHeight="1" x14ac:dyDescent="0.35">
      <c r="A69" s="536"/>
      <c r="B69" s="461"/>
      <c r="C69" s="26"/>
      <c r="D69" s="26"/>
      <c r="E69" s="26"/>
      <c r="F69" s="389"/>
      <c r="G69" s="389"/>
      <c r="H69" s="389"/>
      <c r="I69" s="389"/>
      <c r="J69" s="461"/>
      <c r="K69" s="472"/>
      <c r="L69" s="472"/>
      <c r="M69" s="473"/>
      <c r="N69" s="83"/>
      <c r="O69" s="472"/>
      <c r="P69" s="276"/>
      <c r="Q69" s="276"/>
      <c r="R69" s="276"/>
      <c r="S69" s="276"/>
      <c r="T69" s="276"/>
      <c r="U69" s="276"/>
      <c r="V69" s="276"/>
      <c r="W69" s="276"/>
      <c r="X69" s="472"/>
      <c r="Y69" s="472"/>
      <c r="Z69" s="472"/>
      <c r="AA69" s="472"/>
      <c r="AB69" s="472"/>
      <c r="AC69" s="475"/>
      <c r="AD69" s="472"/>
      <c r="AE69" s="476"/>
      <c r="AF69" s="590"/>
      <c r="AG69" s="612"/>
      <c r="AH69" s="590"/>
      <c r="AI69" s="83" t="s">
        <v>181</v>
      </c>
      <c r="AJ69" s="151">
        <v>1</v>
      </c>
      <c r="AK69" s="85" t="s">
        <v>503</v>
      </c>
      <c r="AL69" s="85">
        <v>365</v>
      </c>
      <c r="AM69" s="151">
        <v>1</v>
      </c>
      <c r="AN69" s="83"/>
      <c r="AO69" s="83"/>
      <c r="AP69" s="276">
        <v>0</v>
      </c>
      <c r="AQ69" s="100">
        <v>0</v>
      </c>
      <c r="AR69" s="276">
        <v>0</v>
      </c>
      <c r="AS69" s="100">
        <f t="shared" si="2"/>
        <v>0</v>
      </c>
      <c r="AT69" s="85" t="s">
        <v>140</v>
      </c>
      <c r="AU69" s="85" t="s">
        <v>178</v>
      </c>
      <c r="AV69" s="85"/>
      <c r="AW69" s="86"/>
      <c r="AX69" s="84"/>
      <c r="AY69" s="84"/>
      <c r="AZ69" s="85"/>
      <c r="BA69" s="85" t="s">
        <v>515</v>
      </c>
      <c r="BB69" s="123" t="s">
        <v>627</v>
      </c>
      <c r="BC69" s="85"/>
      <c r="BD69" s="675"/>
      <c r="BE69" s="675"/>
      <c r="BF69" s="678"/>
      <c r="BG69" s="85" t="s">
        <v>761</v>
      </c>
    </row>
    <row r="70" spans="1:59" s="14" customFormat="1" ht="42.65" customHeight="1" x14ac:dyDescent="0.35">
      <c r="A70" s="536"/>
      <c r="B70" s="461"/>
      <c r="C70" s="26"/>
      <c r="D70" s="26"/>
      <c r="E70" s="26"/>
      <c r="F70" s="389"/>
      <c r="G70" s="389"/>
      <c r="H70" s="389"/>
      <c r="I70" s="389"/>
      <c r="J70" s="461"/>
      <c r="K70" s="472"/>
      <c r="L70" s="472"/>
      <c r="M70" s="473"/>
      <c r="N70" s="83"/>
      <c r="O70" s="472"/>
      <c r="P70" s="276"/>
      <c r="Q70" s="276"/>
      <c r="R70" s="276"/>
      <c r="S70" s="276"/>
      <c r="T70" s="276"/>
      <c r="U70" s="276"/>
      <c r="V70" s="276"/>
      <c r="W70" s="276"/>
      <c r="X70" s="472"/>
      <c r="Y70" s="472"/>
      <c r="Z70" s="472"/>
      <c r="AA70" s="472"/>
      <c r="AB70" s="472"/>
      <c r="AC70" s="475"/>
      <c r="AD70" s="472"/>
      <c r="AE70" s="476"/>
      <c r="AF70" s="590"/>
      <c r="AG70" s="612"/>
      <c r="AH70" s="590"/>
      <c r="AI70" s="83" t="s">
        <v>631</v>
      </c>
      <c r="AJ70" s="85">
        <v>48</v>
      </c>
      <c r="AK70" s="85" t="s">
        <v>503</v>
      </c>
      <c r="AL70" s="85">
        <v>365</v>
      </c>
      <c r="AM70" s="85">
        <v>48</v>
      </c>
      <c r="AN70" s="83"/>
      <c r="AO70" s="83"/>
      <c r="AP70" s="276">
        <v>3</v>
      </c>
      <c r="AQ70" s="100">
        <v>6.25E-2</v>
      </c>
      <c r="AR70" s="276">
        <v>12</v>
      </c>
      <c r="AS70" s="100">
        <f>+(AP70+AR70)/AJ70</f>
        <v>0.3125</v>
      </c>
      <c r="AT70" s="85" t="s">
        <v>140</v>
      </c>
      <c r="AU70" s="85" t="s">
        <v>178</v>
      </c>
      <c r="AV70" s="85"/>
      <c r="AW70" s="86"/>
      <c r="AX70" s="84"/>
      <c r="AY70" s="84"/>
      <c r="AZ70" s="85"/>
      <c r="BA70" s="85" t="s">
        <v>515</v>
      </c>
      <c r="BB70" s="123" t="s">
        <v>627</v>
      </c>
      <c r="BC70" s="85"/>
      <c r="BD70" s="675"/>
      <c r="BE70" s="675"/>
      <c r="BF70" s="678"/>
      <c r="BG70" s="85" t="s">
        <v>762</v>
      </c>
    </row>
    <row r="71" spans="1:59" s="14" customFormat="1" ht="29" x14ac:dyDescent="0.35">
      <c r="A71" s="536"/>
      <c r="B71" s="461"/>
      <c r="C71" s="26"/>
      <c r="D71" s="26"/>
      <c r="E71" s="26"/>
      <c r="F71" s="389"/>
      <c r="G71" s="389"/>
      <c r="H71" s="389"/>
      <c r="I71" s="389"/>
      <c r="J71" s="461"/>
      <c r="K71" s="472"/>
      <c r="L71" s="472"/>
      <c r="M71" s="473"/>
      <c r="N71" s="83"/>
      <c r="O71" s="472"/>
      <c r="P71" s="276"/>
      <c r="Q71" s="276"/>
      <c r="R71" s="276"/>
      <c r="S71" s="276"/>
      <c r="T71" s="276"/>
      <c r="U71" s="276"/>
      <c r="V71" s="276"/>
      <c r="W71" s="276"/>
      <c r="X71" s="472"/>
      <c r="Y71" s="472"/>
      <c r="Z71" s="472"/>
      <c r="AA71" s="472"/>
      <c r="AB71" s="472"/>
      <c r="AC71" s="475"/>
      <c r="AD71" s="472"/>
      <c r="AE71" s="476"/>
      <c r="AF71" s="590"/>
      <c r="AG71" s="613"/>
      <c r="AH71" s="591"/>
      <c r="AI71" s="83" t="s">
        <v>632</v>
      </c>
      <c r="AJ71" s="85">
        <v>400</v>
      </c>
      <c r="AK71" s="85" t="s">
        <v>503</v>
      </c>
      <c r="AL71" s="85">
        <v>365</v>
      </c>
      <c r="AM71" s="85">
        <v>400</v>
      </c>
      <c r="AN71" s="83"/>
      <c r="AO71" s="83"/>
      <c r="AP71" s="276">
        <v>102</v>
      </c>
      <c r="AQ71" s="100">
        <v>0.255</v>
      </c>
      <c r="AR71" s="276">
        <v>129</v>
      </c>
      <c r="AS71" s="100">
        <f t="shared" si="2"/>
        <v>0.57750000000000001</v>
      </c>
      <c r="AT71" s="85" t="s">
        <v>140</v>
      </c>
      <c r="AU71" s="85" t="s">
        <v>178</v>
      </c>
      <c r="AV71" s="85"/>
      <c r="AW71" s="86"/>
      <c r="AX71" s="84"/>
      <c r="AY71" s="84"/>
      <c r="AZ71" s="85"/>
      <c r="BA71" s="85" t="s">
        <v>515</v>
      </c>
      <c r="BB71" s="123" t="s">
        <v>608</v>
      </c>
      <c r="BC71" s="85"/>
      <c r="BD71" s="675"/>
      <c r="BE71" s="675"/>
      <c r="BF71" s="678"/>
      <c r="BG71" s="85" t="s">
        <v>763</v>
      </c>
    </row>
    <row r="72" spans="1:59" s="14" customFormat="1" ht="66.75" customHeight="1" x14ac:dyDescent="0.35">
      <c r="A72" s="536"/>
      <c r="B72" s="461"/>
      <c r="C72" s="26"/>
      <c r="D72" s="26"/>
      <c r="E72" s="26"/>
      <c r="F72" s="389"/>
      <c r="G72" s="389"/>
      <c r="H72" s="389"/>
      <c r="I72" s="389"/>
      <c r="J72" s="461"/>
      <c r="K72" s="276"/>
      <c r="L72" s="276"/>
      <c r="M72" s="436"/>
      <c r="N72" s="83"/>
      <c r="O72" s="276"/>
      <c r="P72" s="276"/>
      <c r="Q72" s="276"/>
      <c r="R72" s="276"/>
      <c r="S72" s="276"/>
      <c r="T72" s="276"/>
      <c r="U72" s="276"/>
      <c r="V72" s="276"/>
      <c r="W72" s="276"/>
      <c r="X72" s="276"/>
      <c r="Y72" s="276"/>
      <c r="Z72" s="276"/>
      <c r="AA72" s="276"/>
      <c r="AB72" s="276"/>
      <c r="AC72" s="178"/>
      <c r="AD72" s="276"/>
      <c r="AE72" s="306"/>
      <c r="AF72" s="591"/>
      <c r="AG72" s="608" t="s">
        <v>176</v>
      </c>
      <c r="AH72" s="609"/>
      <c r="AI72" s="609"/>
      <c r="AJ72" s="609"/>
      <c r="AK72" s="609"/>
      <c r="AL72" s="609"/>
      <c r="AM72" s="609"/>
      <c r="AN72" s="609"/>
      <c r="AO72" s="609"/>
      <c r="AP72" s="609"/>
      <c r="AQ72" s="609"/>
      <c r="AR72" s="610"/>
      <c r="AS72" s="336">
        <f>AVERAGE(AS67:AS71)</f>
        <v>0.2937777777777778</v>
      </c>
      <c r="AT72" s="85"/>
      <c r="AU72" s="85"/>
      <c r="AV72" s="85"/>
      <c r="AW72" s="86"/>
      <c r="AX72" s="84"/>
      <c r="AY72" s="84"/>
      <c r="AZ72" s="85"/>
      <c r="BA72" s="85"/>
      <c r="BB72" s="123"/>
      <c r="BC72" s="85"/>
      <c r="BD72" s="675"/>
      <c r="BE72" s="675"/>
      <c r="BF72" s="678"/>
      <c r="BG72" s="85"/>
    </row>
    <row r="73" spans="1:59" s="14" customFormat="1" ht="167.25" customHeight="1" x14ac:dyDescent="0.35">
      <c r="A73" s="536"/>
      <c r="B73" s="461"/>
      <c r="C73" s="26"/>
      <c r="D73" s="26"/>
      <c r="E73" s="26"/>
      <c r="F73" s="389"/>
      <c r="G73" s="389"/>
      <c r="H73" s="389"/>
      <c r="I73" s="389"/>
      <c r="J73" s="461"/>
      <c r="K73" s="469" t="s">
        <v>182</v>
      </c>
      <c r="L73" s="470" t="s">
        <v>183</v>
      </c>
      <c r="M73" s="471" t="s">
        <v>184</v>
      </c>
      <c r="N73" s="28" t="s">
        <v>184</v>
      </c>
      <c r="O73" s="469">
        <f>7600*4</f>
        <v>30400</v>
      </c>
      <c r="P73" s="28">
        <v>7600</v>
      </c>
      <c r="Q73" s="28">
        <v>2029</v>
      </c>
      <c r="R73" s="28">
        <v>7600</v>
      </c>
      <c r="S73" s="28">
        <v>1877</v>
      </c>
      <c r="T73" s="28">
        <v>1978</v>
      </c>
      <c r="U73" s="28">
        <v>3270</v>
      </c>
      <c r="V73" s="28">
        <v>3102</v>
      </c>
      <c r="W73" s="28"/>
      <c r="X73" s="469">
        <v>7600</v>
      </c>
      <c r="Y73" s="469">
        <v>13056</v>
      </c>
      <c r="Z73" s="469">
        <v>1716</v>
      </c>
      <c r="AA73" s="469">
        <v>2268</v>
      </c>
      <c r="AB73" s="469">
        <f>+AA73+Z73</f>
        <v>3984</v>
      </c>
      <c r="AC73" s="477">
        <f>+AB73/X73</f>
        <v>0.52421052631578946</v>
      </c>
      <c r="AD73" s="469">
        <f>+AB73+Y73</f>
        <v>17040</v>
      </c>
      <c r="AE73" s="474">
        <f>+AD73/O73</f>
        <v>0.56052631578947365</v>
      </c>
      <c r="AF73" s="571" t="s">
        <v>185</v>
      </c>
      <c r="AG73" s="606">
        <v>2020130010175</v>
      </c>
      <c r="AH73" s="571" t="s">
        <v>186</v>
      </c>
      <c r="AI73" s="89" t="s">
        <v>187</v>
      </c>
      <c r="AJ73" s="28">
        <v>7600</v>
      </c>
      <c r="AK73" s="28" t="s">
        <v>503</v>
      </c>
      <c r="AL73" s="28">
        <v>365</v>
      </c>
      <c r="AM73" s="28">
        <v>7600</v>
      </c>
      <c r="AN73" s="7"/>
      <c r="AO73" s="7"/>
      <c r="AP73" s="28">
        <v>1716</v>
      </c>
      <c r="AQ73" s="210">
        <v>0.22600000000000001</v>
      </c>
      <c r="AR73" s="97">
        <v>2268</v>
      </c>
      <c r="AS73" s="210">
        <f>+(AP73+AR73)/AJ73</f>
        <v>0.52421052631578946</v>
      </c>
      <c r="AT73" s="27" t="s">
        <v>140</v>
      </c>
      <c r="AU73" s="27" t="s">
        <v>178</v>
      </c>
      <c r="AV73" s="27" t="s">
        <v>613</v>
      </c>
      <c r="AW73" s="82">
        <v>236458187</v>
      </c>
      <c r="AX73" s="30" t="s">
        <v>532</v>
      </c>
      <c r="AY73" s="30" t="s">
        <v>553</v>
      </c>
      <c r="AZ73" s="27" t="s">
        <v>552</v>
      </c>
      <c r="BA73" s="27" t="s">
        <v>515</v>
      </c>
      <c r="BB73" s="16" t="s">
        <v>634</v>
      </c>
      <c r="BC73" s="27"/>
      <c r="BD73" s="675"/>
      <c r="BE73" s="675"/>
      <c r="BF73" s="678"/>
      <c r="BG73" s="213" t="s">
        <v>764</v>
      </c>
    </row>
    <row r="74" spans="1:59" s="14" customFormat="1" ht="90.75" customHeight="1" x14ac:dyDescent="0.35">
      <c r="A74" s="536"/>
      <c r="B74" s="461"/>
      <c r="C74" s="26"/>
      <c r="D74" s="26"/>
      <c r="E74" s="26"/>
      <c r="F74" s="389"/>
      <c r="G74" s="389"/>
      <c r="H74" s="389"/>
      <c r="I74" s="389"/>
      <c r="J74" s="461"/>
      <c r="K74" s="469"/>
      <c r="L74" s="470"/>
      <c r="M74" s="471"/>
      <c r="N74" s="28"/>
      <c r="O74" s="469"/>
      <c r="P74" s="28"/>
      <c r="Q74" s="28"/>
      <c r="R74" s="28"/>
      <c r="S74" s="28"/>
      <c r="T74" s="28"/>
      <c r="U74" s="28"/>
      <c r="V74" s="28"/>
      <c r="W74" s="28"/>
      <c r="X74" s="469"/>
      <c r="Y74" s="469"/>
      <c r="Z74" s="469"/>
      <c r="AA74" s="469"/>
      <c r="AB74" s="469"/>
      <c r="AC74" s="477"/>
      <c r="AD74" s="469"/>
      <c r="AE74" s="474"/>
      <c r="AF74" s="572"/>
      <c r="AG74" s="607"/>
      <c r="AH74" s="573"/>
      <c r="AI74" s="89" t="s">
        <v>188</v>
      </c>
      <c r="AJ74" s="8">
        <v>1</v>
      </c>
      <c r="AK74" s="28" t="s">
        <v>503</v>
      </c>
      <c r="AL74" s="28">
        <v>365</v>
      </c>
      <c r="AM74" s="8">
        <v>1</v>
      </c>
      <c r="AN74" s="7"/>
      <c r="AO74" s="7"/>
      <c r="AP74" s="28">
        <v>0</v>
      </c>
      <c r="AQ74" s="28">
        <v>0</v>
      </c>
      <c r="AR74" s="28">
        <v>0</v>
      </c>
      <c r="AS74" s="210">
        <f>+(AP74+AR74)/AJ74</f>
        <v>0</v>
      </c>
      <c r="AT74" s="27" t="s">
        <v>140</v>
      </c>
      <c r="AU74" s="27" t="s">
        <v>178</v>
      </c>
      <c r="AV74" s="27"/>
      <c r="AW74" s="82"/>
      <c r="AX74" s="30"/>
      <c r="AY74" s="30"/>
      <c r="AZ74" s="27"/>
      <c r="BA74" s="27"/>
      <c r="BB74" s="16"/>
      <c r="BC74" s="27"/>
      <c r="BD74" s="675"/>
      <c r="BE74" s="675"/>
      <c r="BF74" s="678"/>
      <c r="BG74" s="27" t="s">
        <v>765</v>
      </c>
    </row>
    <row r="75" spans="1:59" s="14" customFormat="1" ht="90.75" customHeight="1" x14ac:dyDescent="0.35">
      <c r="A75" s="536"/>
      <c r="B75" s="461"/>
      <c r="C75" s="26"/>
      <c r="D75" s="26"/>
      <c r="E75" s="26"/>
      <c r="F75" s="389"/>
      <c r="G75" s="389"/>
      <c r="H75" s="389"/>
      <c r="I75" s="389"/>
      <c r="J75" s="461"/>
      <c r="K75" s="28"/>
      <c r="L75" s="87"/>
      <c r="M75" s="325"/>
      <c r="N75" s="28"/>
      <c r="O75" s="28"/>
      <c r="P75" s="28"/>
      <c r="Q75" s="28"/>
      <c r="R75" s="28"/>
      <c r="S75" s="28"/>
      <c r="T75" s="28"/>
      <c r="U75" s="28"/>
      <c r="V75" s="28"/>
      <c r="W75" s="28"/>
      <c r="X75" s="28"/>
      <c r="Y75" s="28"/>
      <c r="Z75" s="28"/>
      <c r="AA75" s="28"/>
      <c r="AB75" s="28"/>
      <c r="AC75" s="210"/>
      <c r="AD75" s="28"/>
      <c r="AE75" s="173"/>
      <c r="AF75" s="573"/>
      <c r="AG75" s="608" t="s">
        <v>185</v>
      </c>
      <c r="AH75" s="609"/>
      <c r="AI75" s="609"/>
      <c r="AJ75" s="609"/>
      <c r="AK75" s="609"/>
      <c r="AL75" s="609"/>
      <c r="AM75" s="609"/>
      <c r="AN75" s="609"/>
      <c r="AO75" s="609"/>
      <c r="AP75" s="609"/>
      <c r="AQ75" s="609"/>
      <c r="AR75" s="610"/>
      <c r="AS75" s="336">
        <f>AVERAGE(AS73:AS74)</f>
        <v>0.26210526315789473</v>
      </c>
      <c r="AT75" s="27"/>
      <c r="AU75" s="27"/>
      <c r="AV75" s="27"/>
      <c r="AW75" s="82"/>
      <c r="AX75" s="30"/>
      <c r="AY75" s="30"/>
      <c r="AZ75" s="27"/>
      <c r="BA75" s="27"/>
      <c r="BB75" s="16"/>
      <c r="BC75" s="27"/>
      <c r="BD75" s="675"/>
      <c r="BE75" s="675"/>
      <c r="BF75" s="678"/>
      <c r="BG75" s="27"/>
    </row>
    <row r="76" spans="1:59" s="14" customFormat="1" ht="115.5" customHeight="1" x14ac:dyDescent="0.35">
      <c r="A76" s="536"/>
      <c r="B76" s="461"/>
      <c r="C76" s="26"/>
      <c r="D76" s="26"/>
      <c r="E76" s="26"/>
      <c r="F76" s="389"/>
      <c r="G76" s="389"/>
      <c r="H76" s="389"/>
      <c r="I76" s="389"/>
      <c r="J76" s="461"/>
      <c r="K76" s="90" t="s">
        <v>189</v>
      </c>
      <c r="L76" s="90" t="s">
        <v>190</v>
      </c>
      <c r="M76" s="324" t="s">
        <v>191</v>
      </c>
      <c r="N76" s="90" t="s">
        <v>191</v>
      </c>
      <c r="O76" s="90">
        <v>0</v>
      </c>
      <c r="P76" s="90">
        <v>0</v>
      </c>
      <c r="Q76" s="90" t="s">
        <v>192</v>
      </c>
      <c r="R76" s="90" t="s">
        <v>193</v>
      </c>
      <c r="S76" s="90" t="s">
        <v>193</v>
      </c>
      <c r="T76" s="90" t="s">
        <v>193</v>
      </c>
      <c r="U76" s="90" t="s">
        <v>193</v>
      </c>
      <c r="V76" s="90" t="s">
        <v>193</v>
      </c>
      <c r="W76" s="90" t="s">
        <v>193</v>
      </c>
      <c r="X76" s="90" t="s">
        <v>193</v>
      </c>
      <c r="Y76" s="90" t="s">
        <v>193</v>
      </c>
      <c r="Z76" s="90" t="s">
        <v>193</v>
      </c>
      <c r="AA76" s="90" t="s">
        <v>193</v>
      </c>
      <c r="AB76" s="90" t="s">
        <v>193</v>
      </c>
      <c r="AC76" s="308">
        <v>0.5</v>
      </c>
      <c r="AD76" s="90" t="s">
        <v>193</v>
      </c>
      <c r="AE76" s="309">
        <v>0.65300000000000002</v>
      </c>
      <c r="AF76" s="615" t="s">
        <v>194</v>
      </c>
      <c r="AG76" s="618">
        <v>2020130010150</v>
      </c>
      <c r="AH76" s="615" t="s">
        <v>195</v>
      </c>
      <c r="AI76" s="91" t="s">
        <v>635</v>
      </c>
      <c r="AJ76" s="185">
        <v>0.9</v>
      </c>
      <c r="AK76" s="184" t="s">
        <v>503</v>
      </c>
      <c r="AL76" s="184">
        <v>365</v>
      </c>
      <c r="AM76" s="185">
        <v>0.9</v>
      </c>
      <c r="AN76" s="446"/>
      <c r="AO76" s="446"/>
      <c r="AP76" s="184">
        <v>582</v>
      </c>
      <c r="AQ76" s="240">
        <f>582/143850</f>
        <v>4.0458811261730966E-3</v>
      </c>
      <c r="AR76" s="214">
        <v>1116</v>
      </c>
      <c r="AS76" s="240">
        <v>1.18E-2</v>
      </c>
      <c r="AT76" s="92" t="s">
        <v>140</v>
      </c>
      <c r="AU76" s="92" t="s">
        <v>178</v>
      </c>
      <c r="AV76" s="92" t="s">
        <v>613</v>
      </c>
      <c r="AW76" s="94">
        <v>446402915</v>
      </c>
      <c r="AX76" s="93" t="s">
        <v>532</v>
      </c>
      <c r="AY76" s="93" t="s">
        <v>549</v>
      </c>
      <c r="AZ76" s="92" t="s">
        <v>548</v>
      </c>
      <c r="BA76" s="92" t="s">
        <v>515</v>
      </c>
      <c r="BB76" s="124" t="s">
        <v>626</v>
      </c>
      <c r="BC76" s="92"/>
      <c r="BD76" s="675"/>
      <c r="BE76" s="675"/>
      <c r="BF76" s="678"/>
      <c r="BG76" s="92" t="s">
        <v>766</v>
      </c>
    </row>
    <row r="77" spans="1:59" s="14" customFormat="1" ht="87.75" customHeight="1" x14ac:dyDescent="0.35">
      <c r="A77" s="536"/>
      <c r="B77" s="461"/>
      <c r="C77" s="26"/>
      <c r="D77" s="26"/>
      <c r="E77" s="26"/>
      <c r="F77" s="389"/>
      <c r="G77" s="389"/>
      <c r="H77" s="389"/>
      <c r="I77" s="389"/>
      <c r="J77" s="461"/>
      <c r="K77" s="90" t="s">
        <v>196</v>
      </c>
      <c r="L77" s="90" t="s">
        <v>197</v>
      </c>
      <c r="M77" s="324" t="s">
        <v>198</v>
      </c>
      <c r="N77" s="90" t="s">
        <v>198</v>
      </c>
      <c r="O77" s="95">
        <f>143850*4</f>
        <v>575400</v>
      </c>
      <c r="P77" s="95">
        <v>143850</v>
      </c>
      <c r="Q77" s="95">
        <v>74147</v>
      </c>
      <c r="R77" s="95">
        <v>143850</v>
      </c>
      <c r="S77" s="90">
        <v>2500</v>
      </c>
      <c r="T77" s="90">
        <v>1441</v>
      </c>
      <c r="U77" s="90">
        <v>4334</v>
      </c>
      <c r="V77" s="96">
        <v>35580</v>
      </c>
      <c r="W77" s="90"/>
      <c r="X77" s="90">
        <v>0.9</v>
      </c>
      <c r="Y77" s="90">
        <v>175308</v>
      </c>
      <c r="Z77" s="310">
        <v>143850</v>
      </c>
      <c r="AA77" s="311">
        <v>143850</v>
      </c>
      <c r="AB77" s="312">
        <f>+AA77</f>
        <v>143850</v>
      </c>
      <c r="AC77" s="313">
        <v>1</v>
      </c>
      <c r="AD77" s="312">
        <f>+AA77+Y77</f>
        <v>319158</v>
      </c>
      <c r="AE77" s="313">
        <f>+AD77/O77</f>
        <v>0.55467153284671533</v>
      </c>
      <c r="AF77" s="616"/>
      <c r="AG77" s="619"/>
      <c r="AH77" s="617"/>
      <c r="AI77" s="91" t="s">
        <v>199</v>
      </c>
      <c r="AJ77" s="185">
        <v>0.85</v>
      </c>
      <c r="AK77" s="184" t="s">
        <v>503</v>
      </c>
      <c r="AL77" s="184">
        <v>365</v>
      </c>
      <c r="AM77" s="185">
        <v>0.85</v>
      </c>
      <c r="AN77" s="446"/>
      <c r="AO77" s="446"/>
      <c r="AP77" s="184">
        <v>0</v>
      </c>
      <c r="AQ77" s="185">
        <v>0</v>
      </c>
      <c r="AR77" s="215">
        <v>0</v>
      </c>
      <c r="AS77" s="185">
        <v>0</v>
      </c>
      <c r="AT77" s="92" t="s">
        <v>140</v>
      </c>
      <c r="AU77" s="92" t="s">
        <v>178</v>
      </c>
      <c r="AV77" s="92"/>
      <c r="AW77" s="94"/>
      <c r="AX77" s="93"/>
      <c r="AY77" s="93"/>
      <c r="AZ77" s="92"/>
      <c r="BA77" s="92" t="s">
        <v>515</v>
      </c>
      <c r="BB77" s="124" t="s">
        <v>626</v>
      </c>
      <c r="BC77" s="92"/>
      <c r="BD77" s="675"/>
      <c r="BE77" s="675"/>
      <c r="BF77" s="678"/>
      <c r="BG77" s="92" t="s">
        <v>767</v>
      </c>
    </row>
    <row r="78" spans="1:59" s="14" customFormat="1" ht="66" customHeight="1" x14ac:dyDescent="0.35">
      <c r="A78" s="536"/>
      <c r="B78" s="461"/>
      <c r="C78" s="26"/>
      <c r="D78" s="26"/>
      <c r="E78" s="26"/>
      <c r="F78" s="389"/>
      <c r="G78" s="389"/>
      <c r="H78" s="389"/>
      <c r="I78" s="389"/>
      <c r="J78" s="461"/>
      <c r="K78" s="468" t="s">
        <v>174</v>
      </c>
      <c r="L78" s="468"/>
      <c r="M78" s="468"/>
      <c r="N78" s="468"/>
      <c r="O78" s="468"/>
      <c r="P78" s="468"/>
      <c r="Q78" s="468"/>
      <c r="R78" s="468"/>
      <c r="S78" s="468"/>
      <c r="T78" s="468"/>
      <c r="U78" s="468"/>
      <c r="V78" s="468"/>
      <c r="W78" s="468"/>
      <c r="X78" s="468"/>
      <c r="Y78" s="468"/>
      <c r="Z78" s="468"/>
      <c r="AA78" s="468"/>
      <c r="AB78" s="468"/>
      <c r="AC78" s="283">
        <f>AVERAGE(AC67:AC77)</f>
        <v>0.56734210526315787</v>
      </c>
      <c r="AD78" s="307"/>
      <c r="AE78" s="283">
        <f>AVERAGE(AE67:AE77)</f>
        <v>0.49986456972723781</v>
      </c>
      <c r="AF78" s="617"/>
      <c r="AG78" s="603" t="s">
        <v>194</v>
      </c>
      <c r="AH78" s="604"/>
      <c r="AI78" s="604"/>
      <c r="AJ78" s="604"/>
      <c r="AK78" s="604"/>
      <c r="AL78" s="604"/>
      <c r="AM78" s="604"/>
      <c r="AN78" s="604"/>
      <c r="AO78" s="604"/>
      <c r="AP78" s="604"/>
      <c r="AQ78" s="604"/>
      <c r="AR78" s="605"/>
      <c r="AS78" s="423">
        <f>AVERAGE(AS76:AS77)</f>
        <v>5.8999999999999999E-3</v>
      </c>
      <c r="AT78" s="92"/>
      <c r="AU78" s="92"/>
      <c r="AV78" s="92"/>
      <c r="AW78" s="94"/>
      <c r="AX78" s="93"/>
      <c r="AY78" s="93"/>
      <c r="AZ78" s="92"/>
      <c r="BA78" s="92"/>
      <c r="BB78" s="124"/>
      <c r="BC78" s="92"/>
      <c r="BD78" s="676"/>
      <c r="BE78" s="676"/>
      <c r="BF78" s="679"/>
      <c r="BG78" s="92"/>
    </row>
    <row r="79" spans="1:59" s="14" customFormat="1" ht="150.75" customHeight="1" x14ac:dyDescent="0.35">
      <c r="A79" s="536"/>
      <c r="B79" s="461"/>
      <c r="C79" s="26"/>
      <c r="D79" s="26"/>
      <c r="E79" s="26"/>
      <c r="F79" s="389"/>
      <c r="G79" s="389"/>
      <c r="H79" s="389"/>
      <c r="I79" s="389"/>
      <c r="J79" s="462" t="s">
        <v>200</v>
      </c>
      <c r="K79" s="89" t="s">
        <v>201</v>
      </c>
      <c r="L79" s="27" t="s">
        <v>202</v>
      </c>
      <c r="M79" s="337" t="s">
        <v>203</v>
      </c>
      <c r="N79" s="89" t="s">
        <v>203</v>
      </c>
      <c r="O79" s="28">
        <v>4</v>
      </c>
      <c r="P79" s="28">
        <v>1</v>
      </c>
      <c r="Q79" s="28">
        <v>1</v>
      </c>
      <c r="R79" s="28">
        <v>1</v>
      </c>
      <c r="S79" s="28">
        <v>0</v>
      </c>
      <c r="T79" s="28">
        <v>0</v>
      </c>
      <c r="U79" s="28">
        <v>1</v>
      </c>
      <c r="V79" s="28">
        <v>0</v>
      </c>
      <c r="W79" s="28"/>
      <c r="X79" s="28">
        <v>1</v>
      </c>
      <c r="Y79" s="28">
        <v>2</v>
      </c>
      <c r="Z79" s="28">
        <v>0</v>
      </c>
      <c r="AA79" s="28">
        <v>0</v>
      </c>
      <c r="AB79" s="28">
        <v>0</v>
      </c>
      <c r="AC79" s="173">
        <v>0</v>
      </c>
      <c r="AD79" s="28">
        <v>2</v>
      </c>
      <c r="AE79" s="15">
        <v>0.52800000000000002</v>
      </c>
      <c r="AF79" s="571" t="s">
        <v>204</v>
      </c>
      <c r="AG79" s="571">
        <v>2020130010130</v>
      </c>
      <c r="AH79" s="571" t="s">
        <v>205</v>
      </c>
      <c r="AI79" s="89" t="s">
        <v>206</v>
      </c>
      <c r="AJ79" s="28">
        <v>17</v>
      </c>
      <c r="AK79" s="28" t="s">
        <v>503</v>
      </c>
      <c r="AL79" s="28">
        <v>365</v>
      </c>
      <c r="AM79" s="28">
        <v>17</v>
      </c>
      <c r="AN79" s="7"/>
      <c r="AO79" s="7"/>
      <c r="AP79" s="28">
        <v>3</v>
      </c>
      <c r="AQ79" s="8">
        <f>+AP79/AM79</f>
        <v>0.17647058823529413</v>
      </c>
      <c r="AR79" s="28">
        <v>4</v>
      </c>
      <c r="AS79" s="173">
        <f t="shared" ref="AS79:AS86" si="3">+(AP79+AR79)/AJ79</f>
        <v>0.41176470588235292</v>
      </c>
      <c r="AT79" s="27" t="s">
        <v>140</v>
      </c>
      <c r="AU79" s="27" t="s">
        <v>207</v>
      </c>
      <c r="AV79" s="27" t="s">
        <v>613</v>
      </c>
      <c r="AW79" s="82">
        <v>418157605</v>
      </c>
      <c r="AX79" s="82" t="s">
        <v>532</v>
      </c>
      <c r="AY79" s="30" t="s">
        <v>555</v>
      </c>
      <c r="AZ79" s="27" t="s">
        <v>554</v>
      </c>
      <c r="BA79" s="27" t="s">
        <v>515</v>
      </c>
      <c r="BB79" s="16" t="s">
        <v>634</v>
      </c>
      <c r="BC79" s="27"/>
      <c r="BD79" s="674">
        <v>1082531175</v>
      </c>
      <c r="BE79" s="668">
        <v>625600000</v>
      </c>
      <c r="BF79" s="680">
        <f>+BE79/BD79</f>
        <v>0.57790483493466138</v>
      </c>
      <c r="BG79" s="186" t="s">
        <v>768</v>
      </c>
    </row>
    <row r="80" spans="1:59" s="14" customFormat="1" ht="105" customHeight="1" x14ac:dyDescent="0.35">
      <c r="A80" s="536"/>
      <c r="B80" s="461"/>
      <c r="C80" s="26"/>
      <c r="D80" s="26"/>
      <c r="E80" s="26"/>
      <c r="F80" s="389"/>
      <c r="G80" s="389"/>
      <c r="H80" s="389"/>
      <c r="I80" s="389"/>
      <c r="J80" s="463"/>
      <c r="K80" s="89" t="s">
        <v>208</v>
      </c>
      <c r="L80" s="27" t="s">
        <v>209</v>
      </c>
      <c r="M80" s="337" t="s">
        <v>210</v>
      </c>
      <c r="N80" s="89" t="s">
        <v>210</v>
      </c>
      <c r="O80" s="28">
        <f>38*4</f>
        <v>152</v>
      </c>
      <c r="P80" s="28">
        <v>38</v>
      </c>
      <c r="Q80" s="28">
        <v>38</v>
      </c>
      <c r="R80" s="28">
        <v>38</v>
      </c>
      <c r="S80" s="28">
        <v>0</v>
      </c>
      <c r="T80" s="28">
        <v>12</v>
      </c>
      <c r="U80" s="28">
        <v>12</v>
      </c>
      <c r="V80" s="28">
        <v>14</v>
      </c>
      <c r="W80" s="28"/>
      <c r="X80" s="28">
        <v>38</v>
      </c>
      <c r="Y80" s="28">
        <v>76</v>
      </c>
      <c r="Z80" s="28">
        <v>19</v>
      </c>
      <c r="AA80" s="28">
        <v>2</v>
      </c>
      <c r="AB80" s="87">
        <f>+AA80+Z80</f>
        <v>21</v>
      </c>
      <c r="AC80" s="173">
        <f>+AB80/X80</f>
        <v>0.55263157894736847</v>
      </c>
      <c r="AD80" s="87">
        <f>+AB80+Y80</f>
        <v>97</v>
      </c>
      <c r="AE80" s="210">
        <f>+AD80/O80</f>
        <v>0.63815789473684215</v>
      </c>
      <c r="AF80" s="572"/>
      <c r="AG80" s="572"/>
      <c r="AH80" s="572"/>
      <c r="AI80" s="89" t="s">
        <v>211</v>
      </c>
      <c r="AJ80" s="28">
        <v>12</v>
      </c>
      <c r="AK80" s="28" t="s">
        <v>503</v>
      </c>
      <c r="AL80" s="28">
        <v>365</v>
      </c>
      <c r="AM80" s="28">
        <v>12</v>
      </c>
      <c r="AN80" s="7"/>
      <c r="AO80" s="7"/>
      <c r="AP80" s="28">
        <v>3</v>
      </c>
      <c r="AQ80" s="8">
        <f>+AP80/AM80</f>
        <v>0.25</v>
      </c>
      <c r="AR80" s="28">
        <v>3</v>
      </c>
      <c r="AS80" s="173">
        <f t="shared" si="3"/>
        <v>0.5</v>
      </c>
      <c r="AT80" s="27" t="s">
        <v>140</v>
      </c>
      <c r="AU80" s="27" t="s">
        <v>207</v>
      </c>
      <c r="AV80" s="27"/>
      <c r="AW80" s="82"/>
      <c r="AX80" s="30"/>
      <c r="AY80" s="30"/>
      <c r="AZ80" s="27"/>
      <c r="BA80" s="27" t="s">
        <v>515</v>
      </c>
      <c r="BB80" s="16" t="s">
        <v>639</v>
      </c>
      <c r="BC80" s="27"/>
      <c r="BD80" s="675"/>
      <c r="BE80" s="669"/>
      <c r="BF80" s="681"/>
      <c r="BG80" s="186" t="s">
        <v>769</v>
      </c>
    </row>
    <row r="81" spans="1:59" s="14" customFormat="1" ht="92.25" customHeight="1" x14ac:dyDescent="0.35">
      <c r="A81" s="536"/>
      <c r="B81" s="461"/>
      <c r="C81" s="26"/>
      <c r="D81" s="26"/>
      <c r="E81" s="26"/>
      <c r="F81" s="389"/>
      <c r="G81" s="389"/>
      <c r="H81" s="389"/>
      <c r="I81" s="389"/>
      <c r="J81" s="463"/>
      <c r="K81" s="89" t="s">
        <v>212</v>
      </c>
      <c r="L81" s="27" t="s">
        <v>213</v>
      </c>
      <c r="M81" s="337" t="s">
        <v>214</v>
      </c>
      <c r="N81" s="89" t="s">
        <v>214</v>
      </c>
      <c r="O81" s="28">
        <f>4*48</f>
        <v>192</v>
      </c>
      <c r="P81" s="28">
        <v>48</v>
      </c>
      <c r="Q81" s="28">
        <v>48</v>
      </c>
      <c r="R81" s="28">
        <v>48</v>
      </c>
      <c r="S81" s="28">
        <v>0</v>
      </c>
      <c r="T81" s="28">
        <v>1</v>
      </c>
      <c r="U81" s="28">
        <v>13</v>
      </c>
      <c r="V81" s="28">
        <v>35</v>
      </c>
      <c r="W81" s="28"/>
      <c r="X81" s="28">
        <v>48</v>
      </c>
      <c r="Y81" s="28">
        <v>97</v>
      </c>
      <c r="Z81" s="28">
        <v>0</v>
      </c>
      <c r="AA81" s="28">
        <v>10</v>
      </c>
      <c r="AB81" s="28">
        <f>+AA81</f>
        <v>10</v>
      </c>
      <c r="AC81" s="173">
        <f>+AB81/X81</f>
        <v>0.20833333333333334</v>
      </c>
      <c r="AD81" s="28">
        <f>+AB81+Y81</f>
        <v>107</v>
      </c>
      <c r="AE81" s="210">
        <f>+AD81/O81</f>
        <v>0.55729166666666663</v>
      </c>
      <c r="AF81" s="572"/>
      <c r="AG81" s="572"/>
      <c r="AH81" s="572"/>
      <c r="AI81" s="89" t="s">
        <v>636</v>
      </c>
      <c r="AJ81" s="28">
        <v>17</v>
      </c>
      <c r="AK81" s="28" t="s">
        <v>503</v>
      </c>
      <c r="AL81" s="28">
        <v>365</v>
      </c>
      <c r="AM81" s="28">
        <v>17</v>
      </c>
      <c r="AN81" s="7"/>
      <c r="AO81" s="7"/>
      <c r="AP81" s="28">
        <v>0</v>
      </c>
      <c r="AQ81" s="8">
        <v>0</v>
      </c>
      <c r="AR81" s="28">
        <v>6</v>
      </c>
      <c r="AS81" s="173">
        <f t="shared" si="3"/>
        <v>0.35294117647058826</v>
      </c>
      <c r="AT81" s="27" t="s">
        <v>140</v>
      </c>
      <c r="AU81" s="27" t="s">
        <v>207</v>
      </c>
      <c r="AV81" s="27"/>
      <c r="AW81" s="82"/>
      <c r="AX81" s="30"/>
      <c r="AY81" s="30"/>
      <c r="AZ81" s="27"/>
      <c r="BA81" s="27" t="s">
        <v>515</v>
      </c>
      <c r="BB81" s="16" t="s">
        <v>634</v>
      </c>
      <c r="BC81" s="27"/>
      <c r="BD81" s="675"/>
      <c r="BE81" s="669"/>
      <c r="BF81" s="681"/>
      <c r="BG81" s="186" t="s">
        <v>769</v>
      </c>
    </row>
    <row r="82" spans="1:59" s="14" customFormat="1" ht="93.75" customHeight="1" x14ac:dyDescent="0.35">
      <c r="A82" s="536"/>
      <c r="B82" s="461"/>
      <c r="C82" s="26"/>
      <c r="D82" s="26"/>
      <c r="E82" s="26"/>
      <c r="F82" s="389"/>
      <c r="G82" s="389"/>
      <c r="H82" s="389"/>
      <c r="I82" s="389"/>
      <c r="J82" s="463"/>
      <c r="K82" s="89" t="s">
        <v>215</v>
      </c>
      <c r="L82" s="27" t="s">
        <v>213</v>
      </c>
      <c r="M82" s="337" t="s">
        <v>216</v>
      </c>
      <c r="N82" s="89" t="s">
        <v>216</v>
      </c>
      <c r="O82" s="28">
        <f>48*4</f>
        <v>192</v>
      </c>
      <c r="P82" s="28">
        <v>48</v>
      </c>
      <c r="Q82" s="28">
        <v>38</v>
      </c>
      <c r="R82" s="28">
        <v>48</v>
      </c>
      <c r="S82" s="28">
        <v>0</v>
      </c>
      <c r="T82" s="28">
        <v>15</v>
      </c>
      <c r="U82" s="28">
        <v>15</v>
      </c>
      <c r="V82" s="28">
        <v>18</v>
      </c>
      <c r="W82" s="28"/>
      <c r="X82" s="28">
        <v>48</v>
      </c>
      <c r="Y82" s="28">
        <v>86</v>
      </c>
      <c r="Z82" s="28">
        <v>24</v>
      </c>
      <c r="AA82" s="28">
        <v>4</v>
      </c>
      <c r="AB82" s="28">
        <f>+AA82+Z82</f>
        <v>28</v>
      </c>
      <c r="AC82" s="173">
        <f>+AB82/X82</f>
        <v>0.58333333333333337</v>
      </c>
      <c r="AD82" s="28">
        <f>+AB82+Y82</f>
        <v>114</v>
      </c>
      <c r="AE82" s="210">
        <f>+AD82/O82</f>
        <v>0.59375</v>
      </c>
      <c r="AF82" s="572"/>
      <c r="AG82" s="572"/>
      <c r="AH82" s="572"/>
      <c r="AI82" s="89" t="s">
        <v>217</v>
      </c>
      <c r="AJ82" s="28">
        <v>2</v>
      </c>
      <c r="AK82" s="28" t="s">
        <v>503</v>
      </c>
      <c r="AL82" s="28">
        <v>365</v>
      </c>
      <c r="AM82" s="28">
        <v>2</v>
      </c>
      <c r="AN82" s="7"/>
      <c r="AO82" s="7"/>
      <c r="AP82" s="28">
        <v>0</v>
      </c>
      <c r="AQ82" s="8">
        <v>0</v>
      </c>
      <c r="AR82" s="28">
        <v>1</v>
      </c>
      <c r="AS82" s="173">
        <f t="shared" si="3"/>
        <v>0.5</v>
      </c>
      <c r="AT82" s="27" t="s">
        <v>140</v>
      </c>
      <c r="AU82" s="27" t="s">
        <v>207</v>
      </c>
      <c r="AV82" s="27"/>
      <c r="AW82" s="82"/>
      <c r="AX82" s="30"/>
      <c r="AY82" s="30"/>
      <c r="AZ82" s="27"/>
      <c r="BA82" s="27" t="s">
        <v>515</v>
      </c>
      <c r="BB82" s="16" t="s">
        <v>634</v>
      </c>
      <c r="BC82" s="27"/>
      <c r="BD82" s="675"/>
      <c r="BE82" s="669"/>
      <c r="BF82" s="681"/>
      <c r="BG82" s="186" t="s">
        <v>769</v>
      </c>
    </row>
    <row r="83" spans="1:59" s="14" customFormat="1" ht="84.75" customHeight="1" x14ac:dyDescent="0.35">
      <c r="A83" s="536"/>
      <c r="B83" s="461"/>
      <c r="C83" s="26"/>
      <c r="D83" s="26"/>
      <c r="E83" s="26"/>
      <c r="F83" s="389"/>
      <c r="G83" s="389"/>
      <c r="H83" s="389"/>
      <c r="I83" s="389"/>
      <c r="J83" s="463"/>
      <c r="K83" s="89" t="s">
        <v>218</v>
      </c>
      <c r="L83" s="27" t="s">
        <v>219</v>
      </c>
      <c r="M83" s="337" t="s">
        <v>830</v>
      </c>
      <c r="N83" s="89" t="s">
        <v>640</v>
      </c>
      <c r="O83" s="28" t="s">
        <v>641</v>
      </c>
      <c r="P83" s="7">
        <v>0</v>
      </c>
      <c r="Q83" s="7">
        <v>0</v>
      </c>
      <c r="R83" s="7" t="s">
        <v>642</v>
      </c>
      <c r="S83" s="7" t="s">
        <v>220</v>
      </c>
      <c r="T83" s="7" t="s">
        <v>220</v>
      </c>
      <c r="U83" s="7" t="s">
        <v>220</v>
      </c>
      <c r="V83" s="7" t="s">
        <v>220</v>
      </c>
      <c r="W83" s="7"/>
      <c r="X83" s="7" t="s">
        <v>643</v>
      </c>
      <c r="Y83" s="28">
        <v>68.900000000000006</v>
      </c>
      <c r="Z83" s="28">
        <v>44.14</v>
      </c>
      <c r="AA83" s="28">
        <v>50.42</v>
      </c>
      <c r="AB83" s="28">
        <f>+AA83</f>
        <v>50.42</v>
      </c>
      <c r="AC83" s="8">
        <v>0.5</v>
      </c>
      <c r="AD83" s="28">
        <f>+AB83</f>
        <v>50.42</v>
      </c>
      <c r="AE83" s="15">
        <v>0.65300000000000002</v>
      </c>
      <c r="AF83" s="572"/>
      <c r="AG83" s="572"/>
      <c r="AH83" s="572"/>
      <c r="AI83" s="89" t="s">
        <v>637</v>
      </c>
      <c r="AJ83" s="28">
        <v>17</v>
      </c>
      <c r="AK83" s="28" t="s">
        <v>503</v>
      </c>
      <c r="AL83" s="28">
        <v>365</v>
      </c>
      <c r="AM83" s="28">
        <v>17</v>
      </c>
      <c r="AN83" s="7"/>
      <c r="AO83" s="7"/>
      <c r="AP83" s="28">
        <v>2</v>
      </c>
      <c r="AQ83" s="8">
        <f>+AP83/AM83</f>
        <v>0.11764705882352941</v>
      </c>
      <c r="AR83" s="28">
        <v>4</v>
      </c>
      <c r="AS83" s="173">
        <f t="shared" si="3"/>
        <v>0.35294117647058826</v>
      </c>
      <c r="AT83" s="27" t="s">
        <v>140</v>
      </c>
      <c r="AU83" s="27" t="s">
        <v>207</v>
      </c>
      <c r="AV83" s="27"/>
      <c r="AW83" s="82"/>
      <c r="AX83" s="30"/>
      <c r="AY83" s="30"/>
      <c r="AZ83" s="27"/>
      <c r="BA83" s="27" t="s">
        <v>515</v>
      </c>
      <c r="BB83" s="16" t="s">
        <v>634</v>
      </c>
      <c r="BC83" s="27"/>
      <c r="BD83" s="675"/>
      <c r="BE83" s="669"/>
      <c r="BF83" s="681"/>
      <c r="BG83" s="186" t="s">
        <v>769</v>
      </c>
    </row>
    <row r="84" spans="1:59" s="14" customFormat="1" ht="66.75" customHeight="1" x14ac:dyDescent="0.35">
      <c r="A84" s="536"/>
      <c r="B84" s="461"/>
      <c r="C84" s="26"/>
      <c r="D84" s="26"/>
      <c r="E84" s="26"/>
      <c r="F84" s="389"/>
      <c r="G84" s="389"/>
      <c r="H84" s="389"/>
      <c r="I84" s="389"/>
      <c r="J84" s="463"/>
      <c r="K84" s="89" t="s">
        <v>221</v>
      </c>
      <c r="L84" s="27" t="s">
        <v>222</v>
      </c>
      <c r="M84" s="337" t="s">
        <v>223</v>
      </c>
      <c r="N84" s="89" t="s">
        <v>223</v>
      </c>
      <c r="O84" s="28" t="s">
        <v>224</v>
      </c>
      <c r="P84" s="7">
        <v>0</v>
      </c>
      <c r="Q84" s="7">
        <v>0</v>
      </c>
      <c r="R84" s="7" t="s">
        <v>225</v>
      </c>
      <c r="S84" s="7" t="s">
        <v>226</v>
      </c>
      <c r="T84" s="7" t="s">
        <v>226</v>
      </c>
      <c r="U84" s="7" t="s">
        <v>226</v>
      </c>
      <c r="V84" s="7" t="s">
        <v>226</v>
      </c>
      <c r="W84" s="7"/>
      <c r="X84" s="7" t="s">
        <v>227</v>
      </c>
      <c r="Y84" s="28">
        <v>11.24</v>
      </c>
      <c r="Z84" s="28">
        <v>12.19</v>
      </c>
      <c r="AA84" s="28">
        <v>8.6999999999999993</v>
      </c>
      <c r="AB84" s="28">
        <f>+AA84</f>
        <v>8.6999999999999993</v>
      </c>
      <c r="AC84" s="8">
        <v>0.5</v>
      </c>
      <c r="AD84" s="28">
        <f>+AB84</f>
        <v>8.6999999999999993</v>
      </c>
      <c r="AE84" s="15">
        <v>0.65300000000000002</v>
      </c>
      <c r="AF84" s="572"/>
      <c r="AG84" s="572"/>
      <c r="AH84" s="572"/>
      <c r="AI84" s="89" t="s">
        <v>228</v>
      </c>
      <c r="AJ84" s="28">
        <v>12</v>
      </c>
      <c r="AK84" s="28" t="s">
        <v>503</v>
      </c>
      <c r="AL84" s="28">
        <v>365</v>
      </c>
      <c r="AM84" s="28">
        <v>12</v>
      </c>
      <c r="AN84" s="7"/>
      <c r="AO84" s="7"/>
      <c r="AP84" s="28">
        <v>3</v>
      </c>
      <c r="AQ84" s="8">
        <f>+AP84/AM84</f>
        <v>0.25</v>
      </c>
      <c r="AR84" s="28">
        <v>3</v>
      </c>
      <c r="AS84" s="173">
        <f t="shared" si="3"/>
        <v>0.5</v>
      </c>
      <c r="AT84" s="27" t="s">
        <v>140</v>
      </c>
      <c r="AU84" s="27" t="s">
        <v>207</v>
      </c>
      <c r="AV84" s="27"/>
      <c r="AW84" s="82"/>
      <c r="AX84" s="30"/>
      <c r="AY84" s="30"/>
      <c r="AZ84" s="27"/>
      <c r="BA84" s="27" t="s">
        <v>515</v>
      </c>
      <c r="BB84" s="16" t="s">
        <v>639</v>
      </c>
      <c r="BC84" s="27"/>
      <c r="BD84" s="675"/>
      <c r="BE84" s="669"/>
      <c r="BF84" s="681"/>
      <c r="BG84" s="186" t="s">
        <v>769</v>
      </c>
    </row>
    <row r="85" spans="1:59" s="14" customFormat="1" ht="75.75" customHeight="1" x14ac:dyDescent="0.35">
      <c r="A85" s="536"/>
      <c r="B85" s="461"/>
      <c r="C85" s="26"/>
      <c r="D85" s="26"/>
      <c r="E85" s="26"/>
      <c r="F85" s="389"/>
      <c r="G85" s="389"/>
      <c r="H85" s="389"/>
      <c r="I85" s="389"/>
      <c r="J85" s="463"/>
      <c r="K85" s="89" t="s">
        <v>229</v>
      </c>
      <c r="L85" s="27" t="s">
        <v>230</v>
      </c>
      <c r="M85" s="337" t="s">
        <v>231</v>
      </c>
      <c r="N85" s="89" t="s">
        <v>231</v>
      </c>
      <c r="O85" s="28" t="s">
        <v>232</v>
      </c>
      <c r="P85" s="89">
        <v>0</v>
      </c>
      <c r="Q85" s="89">
        <v>0</v>
      </c>
      <c r="R85" s="89" t="s">
        <v>232</v>
      </c>
      <c r="S85" s="89" t="s">
        <v>233</v>
      </c>
      <c r="T85" s="89" t="s">
        <v>233</v>
      </c>
      <c r="U85" s="89" t="s">
        <v>233</v>
      </c>
      <c r="V85" s="89" t="s">
        <v>233</v>
      </c>
      <c r="W85" s="89"/>
      <c r="X85" s="89" t="s">
        <v>232</v>
      </c>
      <c r="Y85" s="28">
        <v>6.65</v>
      </c>
      <c r="Z85" s="28">
        <v>5.54</v>
      </c>
      <c r="AA85" s="28">
        <v>4.3</v>
      </c>
      <c r="AB85" s="28">
        <f>+AA85</f>
        <v>4.3</v>
      </c>
      <c r="AC85" s="8">
        <v>0.5</v>
      </c>
      <c r="AD85" s="28">
        <f>+AB85</f>
        <v>4.3</v>
      </c>
      <c r="AE85" s="15">
        <v>0.65300000000000002</v>
      </c>
      <c r="AF85" s="572"/>
      <c r="AG85" s="572"/>
      <c r="AH85" s="572"/>
      <c r="AI85" s="89" t="s">
        <v>638</v>
      </c>
      <c r="AJ85" s="28">
        <v>17</v>
      </c>
      <c r="AK85" s="28" t="s">
        <v>503</v>
      </c>
      <c r="AL85" s="28">
        <v>365</v>
      </c>
      <c r="AM85" s="28">
        <v>17</v>
      </c>
      <c r="AN85" s="7"/>
      <c r="AO85" s="7"/>
      <c r="AP85" s="28">
        <v>5</v>
      </c>
      <c r="AQ85" s="8">
        <f>+AP85/AM85</f>
        <v>0.29411764705882354</v>
      </c>
      <c r="AR85" s="28">
        <v>5</v>
      </c>
      <c r="AS85" s="173">
        <f t="shared" si="3"/>
        <v>0.58823529411764708</v>
      </c>
      <c r="AT85" s="27" t="s">
        <v>140</v>
      </c>
      <c r="AU85" s="27" t="s">
        <v>207</v>
      </c>
      <c r="AV85" s="27"/>
      <c r="AW85" s="82"/>
      <c r="AX85" s="30"/>
      <c r="AY85" s="30"/>
      <c r="AZ85" s="27"/>
      <c r="BA85" s="27" t="s">
        <v>515</v>
      </c>
      <c r="BB85" s="16" t="s">
        <v>634</v>
      </c>
      <c r="BC85" s="27"/>
      <c r="BD85" s="675"/>
      <c r="BE85" s="669"/>
      <c r="BF85" s="681"/>
      <c r="BG85" s="186" t="s">
        <v>769</v>
      </c>
    </row>
    <row r="86" spans="1:59" s="14" customFormat="1" ht="114" customHeight="1" x14ac:dyDescent="0.35">
      <c r="A86" s="536"/>
      <c r="B86" s="461"/>
      <c r="C86" s="26"/>
      <c r="D86" s="26"/>
      <c r="E86" s="26"/>
      <c r="F86" s="389"/>
      <c r="G86" s="389"/>
      <c r="H86" s="389"/>
      <c r="I86" s="389"/>
      <c r="J86" s="463"/>
      <c r="K86" s="89" t="s">
        <v>234</v>
      </c>
      <c r="L86" s="27" t="s">
        <v>235</v>
      </c>
      <c r="M86" s="337" t="s">
        <v>831</v>
      </c>
      <c r="N86" s="89" t="s">
        <v>644</v>
      </c>
      <c r="O86" s="28" t="s">
        <v>645</v>
      </c>
      <c r="P86" s="89">
        <v>0</v>
      </c>
      <c r="Q86" s="89">
        <v>0</v>
      </c>
      <c r="R86" s="89" t="s">
        <v>645</v>
      </c>
      <c r="S86" s="89" t="s">
        <v>236</v>
      </c>
      <c r="T86" s="89" t="s">
        <v>236</v>
      </c>
      <c r="U86" s="89" t="s">
        <v>236</v>
      </c>
      <c r="V86" s="89" t="s">
        <v>236</v>
      </c>
      <c r="W86" s="89"/>
      <c r="X86" s="89" t="s">
        <v>645</v>
      </c>
      <c r="Y86" s="28">
        <v>1.63</v>
      </c>
      <c r="Z86" s="28">
        <v>2.36</v>
      </c>
      <c r="AA86" s="28">
        <v>2.36</v>
      </c>
      <c r="AB86" s="28">
        <f>+AA86</f>
        <v>2.36</v>
      </c>
      <c r="AC86" s="8">
        <v>0.5</v>
      </c>
      <c r="AD86" s="28">
        <f>+AB86</f>
        <v>2.36</v>
      </c>
      <c r="AE86" s="15">
        <v>0.65300000000000002</v>
      </c>
      <c r="AF86" s="573"/>
      <c r="AG86" s="573"/>
      <c r="AH86" s="573"/>
      <c r="AI86" s="89" t="s">
        <v>237</v>
      </c>
      <c r="AJ86" s="28">
        <v>4</v>
      </c>
      <c r="AK86" s="28" t="s">
        <v>503</v>
      </c>
      <c r="AL86" s="28">
        <v>365</v>
      </c>
      <c r="AM86" s="28">
        <v>4</v>
      </c>
      <c r="AN86" s="7"/>
      <c r="AO86" s="7"/>
      <c r="AP86" s="28">
        <v>1</v>
      </c>
      <c r="AQ86" s="8">
        <f>+AP86/AM86</f>
        <v>0.25</v>
      </c>
      <c r="AR86" s="28">
        <v>1</v>
      </c>
      <c r="AS86" s="173">
        <f t="shared" si="3"/>
        <v>0.5</v>
      </c>
      <c r="AT86" s="27" t="s">
        <v>140</v>
      </c>
      <c r="AU86" s="27" t="s">
        <v>207</v>
      </c>
      <c r="AV86" s="27"/>
      <c r="AW86" s="82"/>
      <c r="AX86" s="30"/>
      <c r="AY86" s="30"/>
      <c r="AZ86" s="27"/>
      <c r="BA86" s="27" t="s">
        <v>515</v>
      </c>
      <c r="BB86" s="16" t="s">
        <v>639</v>
      </c>
      <c r="BC86" s="27"/>
      <c r="BD86" s="675"/>
      <c r="BE86" s="669"/>
      <c r="BF86" s="681"/>
      <c r="BG86" s="186" t="s">
        <v>769</v>
      </c>
    </row>
    <row r="87" spans="1:59" s="14" customFormat="1" ht="57.75" customHeight="1" x14ac:dyDescent="0.35">
      <c r="A87" s="536"/>
      <c r="B87" s="461"/>
      <c r="C87" s="26"/>
      <c r="D87" s="26"/>
      <c r="E87" s="26"/>
      <c r="F87" s="389"/>
      <c r="G87" s="389"/>
      <c r="H87" s="389"/>
      <c r="I87" s="389"/>
      <c r="J87" s="463"/>
      <c r="K87" s="89"/>
      <c r="L87" s="27"/>
      <c r="M87" s="337"/>
      <c r="N87" s="89"/>
      <c r="O87" s="28"/>
      <c r="P87" s="89"/>
      <c r="Q87" s="89"/>
      <c r="R87" s="89"/>
      <c r="S87" s="89"/>
      <c r="T87" s="89"/>
      <c r="U87" s="89"/>
      <c r="V87" s="89"/>
      <c r="W87" s="89"/>
      <c r="X87" s="89"/>
      <c r="Y87" s="28"/>
      <c r="Z87" s="28"/>
      <c r="AA87" s="28"/>
      <c r="AB87" s="28"/>
      <c r="AC87" s="8"/>
      <c r="AD87" s="28"/>
      <c r="AE87" s="15"/>
      <c r="AF87" s="302"/>
      <c r="AG87" s="302"/>
      <c r="AH87" s="580" t="s">
        <v>205</v>
      </c>
      <c r="AI87" s="581"/>
      <c r="AJ87" s="581"/>
      <c r="AK87" s="581"/>
      <c r="AL87" s="581"/>
      <c r="AM87" s="581"/>
      <c r="AN87" s="581"/>
      <c r="AO87" s="581"/>
      <c r="AP87" s="581"/>
      <c r="AQ87" s="581"/>
      <c r="AR87" s="582"/>
      <c r="AS87" s="336">
        <f>AVERAGE(AS79:AS86)</f>
        <v>0.46323529411764708</v>
      </c>
      <c r="AT87" s="27"/>
      <c r="AU87" s="27"/>
      <c r="AV87" s="27"/>
      <c r="AW87" s="82"/>
      <c r="AX87" s="30"/>
      <c r="AY87" s="30"/>
      <c r="AZ87" s="27"/>
      <c r="BA87" s="27"/>
      <c r="BB87" s="16"/>
      <c r="BC87" s="27"/>
      <c r="BD87" s="675"/>
      <c r="BE87" s="669"/>
      <c r="BF87" s="681"/>
      <c r="BG87" s="186"/>
    </row>
    <row r="88" spans="1:59" s="14" customFormat="1" ht="94.5" customHeight="1" x14ac:dyDescent="0.35">
      <c r="A88" s="536"/>
      <c r="B88" s="461"/>
      <c r="C88" s="26"/>
      <c r="D88" s="26"/>
      <c r="E88" s="26"/>
      <c r="F88" s="389"/>
      <c r="G88" s="389"/>
      <c r="H88" s="389"/>
      <c r="I88" s="389"/>
      <c r="J88" s="463"/>
      <c r="K88" s="276" t="s">
        <v>238</v>
      </c>
      <c r="L88" s="276" t="s">
        <v>239</v>
      </c>
      <c r="M88" s="338" t="s">
        <v>240</v>
      </c>
      <c r="N88" s="276" t="s">
        <v>240</v>
      </c>
      <c r="O88" s="276">
        <v>2.2999999999999998</v>
      </c>
      <c r="P88" s="276">
        <v>0</v>
      </c>
      <c r="Q88" s="276">
        <v>0</v>
      </c>
      <c r="R88" s="276">
        <v>2.2999999999999998</v>
      </c>
      <c r="S88" s="276">
        <v>0</v>
      </c>
      <c r="T88" s="276">
        <v>0</v>
      </c>
      <c r="U88" s="276">
        <v>0</v>
      </c>
      <c r="V88" s="276">
        <v>2.2999999999999998</v>
      </c>
      <c r="W88" s="276"/>
      <c r="X88" s="276">
        <v>2.2999999999999998</v>
      </c>
      <c r="Y88" s="276">
        <v>2.2999999999999998</v>
      </c>
      <c r="Z88" s="276">
        <v>0</v>
      </c>
      <c r="AA88" s="276">
        <v>1.7</v>
      </c>
      <c r="AB88" s="276">
        <f>+AA88</f>
        <v>1.7</v>
      </c>
      <c r="AC88" s="100">
        <v>0.5</v>
      </c>
      <c r="AD88" s="276">
        <f>+AB88</f>
        <v>1.7</v>
      </c>
      <c r="AE88" s="305">
        <v>0.65300000000000002</v>
      </c>
      <c r="AF88" s="589" t="s">
        <v>241</v>
      </c>
      <c r="AG88" s="647">
        <v>2020130010144</v>
      </c>
      <c r="AH88" s="589" t="s">
        <v>242</v>
      </c>
      <c r="AI88" s="276" t="s">
        <v>646</v>
      </c>
      <c r="AJ88" s="276">
        <v>1</v>
      </c>
      <c r="AK88" s="276" t="s">
        <v>503</v>
      </c>
      <c r="AL88" s="276">
        <v>365</v>
      </c>
      <c r="AM88" s="276">
        <v>1</v>
      </c>
      <c r="AN88" s="276"/>
      <c r="AO88" s="276"/>
      <c r="AP88" s="276">
        <v>0</v>
      </c>
      <c r="AQ88" s="100">
        <v>0</v>
      </c>
      <c r="AR88" s="276">
        <v>0</v>
      </c>
      <c r="AS88" s="100">
        <v>0</v>
      </c>
      <c r="AT88" s="85" t="s">
        <v>140</v>
      </c>
      <c r="AU88" s="85" t="s">
        <v>207</v>
      </c>
      <c r="AV88" s="85" t="s">
        <v>613</v>
      </c>
      <c r="AW88" s="86">
        <v>304407584</v>
      </c>
      <c r="AX88" s="84" t="s">
        <v>532</v>
      </c>
      <c r="AY88" s="84" t="s">
        <v>557</v>
      </c>
      <c r="AZ88" s="85" t="s">
        <v>556</v>
      </c>
      <c r="BA88" s="85" t="s">
        <v>515</v>
      </c>
      <c r="BB88" s="123" t="s">
        <v>634</v>
      </c>
      <c r="BC88" s="85"/>
      <c r="BD88" s="675"/>
      <c r="BE88" s="669"/>
      <c r="BF88" s="681"/>
      <c r="BG88" s="216" t="s">
        <v>771</v>
      </c>
    </row>
    <row r="89" spans="1:59" s="14" customFormat="1" ht="72" customHeight="1" x14ac:dyDescent="0.35">
      <c r="A89" s="536"/>
      <c r="B89" s="461"/>
      <c r="C89" s="26"/>
      <c r="D89" s="26"/>
      <c r="E89" s="26"/>
      <c r="F89" s="389"/>
      <c r="G89" s="389"/>
      <c r="H89" s="389"/>
      <c r="I89" s="389"/>
      <c r="J89" s="463"/>
      <c r="K89" s="276" t="s">
        <v>243</v>
      </c>
      <c r="L89" s="276" t="s">
        <v>244</v>
      </c>
      <c r="M89" s="323" t="s">
        <v>245</v>
      </c>
      <c r="N89" s="276" t="s">
        <v>245</v>
      </c>
      <c r="O89" s="276">
        <v>400</v>
      </c>
      <c r="P89" s="276">
        <v>100</v>
      </c>
      <c r="Q89" s="276">
        <v>100</v>
      </c>
      <c r="R89" s="276">
        <v>100</v>
      </c>
      <c r="S89" s="276">
        <v>0</v>
      </c>
      <c r="T89" s="276">
        <v>14</v>
      </c>
      <c r="U89" s="276">
        <v>101</v>
      </c>
      <c r="V89" s="276">
        <v>30</v>
      </c>
      <c r="W89" s="276"/>
      <c r="X89" s="276">
        <v>100</v>
      </c>
      <c r="Y89" s="276">
        <v>245</v>
      </c>
      <c r="Z89" s="276">
        <v>0</v>
      </c>
      <c r="AA89" s="276">
        <v>95</v>
      </c>
      <c r="AB89" s="276">
        <f>+AA89+Z89</f>
        <v>95</v>
      </c>
      <c r="AC89" s="178">
        <f t="shared" ref="AC89:AC96" si="4">+AB89/X89</f>
        <v>0.95</v>
      </c>
      <c r="AD89" s="276">
        <f t="shared" ref="AD89:AD96" si="5">+AB89+Y89</f>
        <v>340</v>
      </c>
      <c r="AE89" s="178">
        <f t="shared" ref="AE89:AE97" si="6">+AD89/O89</f>
        <v>0.85</v>
      </c>
      <c r="AF89" s="590"/>
      <c r="AG89" s="648"/>
      <c r="AH89" s="590"/>
      <c r="AI89" s="98" t="s">
        <v>246</v>
      </c>
      <c r="AJ89" s="276">
        <v>300</v>
      </c>
      <c r="AK89" s="276" t="s">
        <v>503</v>
      </c>
      <c r="AL89" s="276">
        <v>365</v>
      </c>
      <c r="AM89" s="276">
        <v>300</v>
      </c>
      <c r="AN89" s="98"/>
      <c r="AO89" s="98"/>
      <c r="AP89" s="276">
        <v>75</v>
      </c>
      <c r="AQ89" s="100">
        <f>+AP89/AM89</f>
        <v>0.25</v>
      </c>
      <c r="AR89" s="276">
        <v>75</v>
      </c>
      <c r="AS89" s="100">
        <v>0.5</v>
      </c>
      <c r="AT89" s="85" t="s">
        <v>140</v>
      </c>
      <c r="AU89" s="85" t="s">
        <v>207</v>
      </c>
      <c r="AV89" s="85"/>
      <c r="AW89" s="86"/>
      <c r="AX89" s="84"/>
      <c r="AY89" s="84"/>
      <c r="AZ89" s="85"/>
      <c r="BA89" s="85" t="s">
        <v>515</v>
      </c>
      <c r="BB89" s="123" t="s">
        <v>634</v>
      </c>
      <c r="BC89" s="85"/>
      <c r="BD89" s="675"/>
      <c r="BE89" s="669"/>
      <c r="BF89" s="681"/>
      <c r="BG89" s="187" t="s">
        <v>769</v>
      </c>
    </row>
    <row r="90" spans="1:59" s="14" customFormat="1" ht="64.5" customHeight="1" x14ac:dyDescent="0.35">
      <c r="A90" s="536"/>
      <c r="B90" s="461"/>
      <c r="C90" s="26"/>
      <c r="D90" s="26"/>
      <c r="E90" s="26"/>
      <c r="F90" s="389"/>
      <c r="G90" s="389"/>
      <c r="H90" s="389"/>
      <c r="I90" s="389"/>
      <c r="J90" s="463"/>
      <c r="K90" s="276" t="s">
        <v>247</v>
      </c>
      <c r="L90" s="276" t="s">
        <v>248</v>
      </c>
      <c r="M90" s="323" t="s">
        <v>249</v>
      </c>
      <c r="N90" s="276" t="s">
        <v>249</v>
      </c>
      <c r="O90" s="276">
        <f>18*4</f>
        <v>72</v>
      </c>
      <c r="P90" s="276">
        <v>18</v>
      </c>
      <c r="Q90" s="276">
        <v>17</v>
      </c>
      <c r="R90" s="276">
        <v>18</v>
      </c>
      <c r="S90" s="276">
        <v>0</v>
      </c>
      <c r="T90" s="276">
        <v>6</v>
      </c>
      <c r="U90" s="276">
        <v>4</v>
      </c>
      <c r="V90" s="276">
        <v>5</v>
      </c>
      <c r="W90" s="276"/>
      <c r="X90" s="276">
        <v>18</v>
      </c>
      <c r="Y90" s="276">
        <v>35</v>
      </c>
      <c r="Z90" s="276">
        <v>0</v>
      </c>
      <c r="AA90" s="276">
        <v>10</v>
      </c>
      <c r="AB90" s="276">
        <f>+AA90+Z90</f>
        <v>10</v>
      </c>
      <c r="AC90" s="178">
        <f t="shared" si="4"/>
        <v>0.55555555555555558</v>
      </c>
      <c r="AD90" s="276">
        <f t="shared" si="5"/>
        <v>45</v>
      </c>
      <c r="AE90" s="178">
        <f t="shared" si="6"/>
        <v>0.625</v>
      </c>
      <c r="AF90" s="590"/>
      <c r="AG90" s="649"/>
      <c r="AH90" s="591"/>
      <c r="AI90" s="98" t="s">
        <v>250</v>
      </c>
      <c r="AJ90" s="276">
        <v>100</v>
      </c>
      <c r="AK90" s="276" t="s">
        <v>503</v>
      </c>
      <c r="AL90" s="276">
        <v>365</v>
      </c>
      <c r="AM90" s="276">
        <v>100</v>
      </c>
      <c r="AN90" s="98"/>
      <c r="AO90" s="98"/>
      <c r="AP90" s="276">
        <v>0</v>
      </c>
      <c r="AQ90" s="100">
        <v>0</v>
      </c>
      <c r="AR90" s="276">
        <v>95</v>
      </c>
      <c r="AS90" s="100">
        <v>0.95</v>
      </c>
      <c r="AT90" s="85" t="s">
        <v>140</v>
      </c>
      <c r="AU90" s="85" t="s">
        <v>207</v>
      </c>
      <c r="AV90" s="85"/>
      <c r="AW90" s="86"/>
      <c r="AX90" s="84"/>
      <c r="AY90" s="84"/>
      <c r="AZ90" s="85"/>
      <c r="BA90" s="85" t="s">
        <v>515</v>
      </c>
      <c r="BB90" s="123" t="s">
        <v>634</v>
      </c>
      <c r="BC90" s="85"/>
      <c r="BD90" s="675"/>
      <c r="BE90" s="669"/>
      <c r="BF90" s="681"/>
      <c r="BG90" s="187" t="s">
        <v>769</v>
      </c>
    </row>
    <row r="91" spans="1:59" s="14" customFormat="1" ht="64.5" customHeight="1" x14ac:dyDescent="0.35">
      <c r="A91" s="536"/>
      <c r="B91" s="461"/>
      <c r="C91" s="26"/>
      <c r="D91" s="26"/>
      <c r="E91" s="26"/>
      <c r="F91" s="389"/>
      <c r="G91" s="389"/>
      <c r="H91" s="389"/>
      <c r="I91" s="389"/>
      <c r="J91" s="463"/>
      <c r="K91" s="276"/>
      <c r="L91" s="276"/>
      <c r="M91" s="323"/>
      <c r="N91" s="276"/>
      <c r="O91" s="276"/>
      <c r="P91" s="276"/>
      <c r="Q91" s="276"/>
      <c r="R91" s="276"/>
      <c r="S91" s="276"/>
      <c r="T91" s="276"/>
      <c r="U91" s="276"/>
      <c r="V91" s="276"/>
      <c r="W91" s="276"/>
      <c r="X91" s="276"/>
      <c r="Y91" s="276"/>
      <c r="Z91" s="276"/>
      <c r="AA91" s="276"/>
      <c r="AB91" s="276"/>
      <c r="AC91" s="178"/>
      <c r="AD91" s="276"/>
      <c r="AE91" s="178"/>
      <c r="AF91" s="591"/>
      <c r="AG91" s="608" t="s">
        <v>241</v>
      </c>
      <c r="AH91" s="609"/>
      <c r="AI91" s="609"/>
      <c r="AJ91" s="609"/>
      <c r="AK91" s="609"/>
      <c r="AL91" s="609"/>
      <c r="AM91" s="609"/>
      <c r="AN91" s="609"/>
      <c r="AO91" s="609"/>
      <c r="AP91" s="609"/>
      <c r="AQ91" s="609"/>
      <c r="AR91" s="610"/>
      <c r="AS91" s="336">
        <f>AVERAGE(AS88:AS90)</f>
        <v>0.48333333333333334</v>
      </c>
      <c r="AT91" s="85"/>
      <c r="AU91" s="85"/>
      <c r="AV91" s="85"/>
      <c r="AW91" s="86"/>
      <c r="AX91" s="84"/>
      <c r="AY91" s="84"/>
      <c r="AZ91" s="85"/>
      <c r="BA91" s="85"/>
      <c r="BB91" s="123"/>
      <c r="BC91" s="85"/>
      <c r="BD91" s="675"/>
      <c r="BE91" s="669"/>
      <c r="BF91" s="681"/>
      <c r="BG91" s="187"/>
    </row>
    <row r="92" spans="1:59" s="14" customFormat="1" ht="104.25" customHeight="1" x14ac:dyDescent="0.35">
      <c r="A92" s="536"/>
      <c r="B92" s="461"/>
      <c r="C92" s="26"/>
      <c r="D92" s="26"/>
      <c r="E92" s="26"/>
      <c r="F92" s="389"/>
      <c r="G92" s="389"/>
      <c r="H92" s="389"/>
      <c r="I92" s="389"/>
      <c r="J92" s="463"/>
      <c r="K92" s="28" t="s">
        <v>251</v>
      </c>
      <c r="L92" s="8" t="s">
        <v>252</v>
      </c>
      <c r="M92" s="339" t="s">
        <v>253</v>
      </c>
      <c r="N92" s="28" t="s">
        <v>253</v>
      </c>
      <c r="O92" s="28">
        <f>19*4</f>
        <v>76</v>
      </c>
      <c r="P92" s="28" t="s">
        <v>254</v>
      </c>
      <c r="Q92" s="28">
        <v>17</v>
      </c>
      <c r="R92" s="8">
        <v>1</v>
      </c>
      <c r="S92" s="8">
        <v>0</v>
      </c>
      <c r="T92" s="8">
        <v>0.35</v>
      </c>
      <c r="U92" s="8">
        <v>0.25</v>
      </c>
      <c r="V92" s="8">
        <v>0.4</v>
      </c>
      <c r="W92" s="8"/>
      <c r="X92" s="331">
        <v>19</v>
      </c>
      <c r="Y92" s="331">
        <v>36</v>
      </c>
      <c r="Z92" s="331">
        <v>0</v>
      </c>
      <c r="AA92" s="332">
        <v>10</v>
      </c>
      <c r="AB92" s="333">
        <f>+AA92</f>
        <v>10</v>
      </c>
      <c r="AC92" s="334">
        <f t="shared" si="4"/>
        <v>0.52631578947368418</v>
      </c>
      <c r="AD92" s="332">
        <f t="shared" si="5"/>
        <v>46</v>
      </c>
      <c r="AE92" s="334">
        <f t="shared" si="6"/>
        <v>0.60526315789473684</v>
      </c>
      <c r="AF92" s="571" t="s">
        <v>255</v>
      </c>
      <c r="AG92" s="606">
        <v>2020130010145</v>
      </c>
      <c r="AH92" s="571" t="s">
        <v>256</v>
      </c>
      <c r="AI92" s="99" t="s">
        <v>261</v>
      </c>
      <c r="AJ92" s="27">
        <v>100</v>
      </c>
      <c r="AK92" s="27" t="s">
        <v>503</v>
      </c>
      <c r="AL92" s="27">
        <v>365</v>
      </c>
      <c r="AM92" s="27">
        <v>100</v>
      </c>
      <c r="AN92" s="99"/>
      <c r="AO92" s="99"/>
      <c r="AP92" s="27">
        <v>25</v>
      </c>
      <c r="AQ92" s="29">
        <v>0.25</v>
      </c>
      <c r="AR92" s="27">
        <v>25</v>
      </c>
      <c r="AS92" s="8">
        <v>0.5</v>
      </c>
      <c r="AT92" s="27" t="s">
        <v>140</v>
      </c>
      <c r="AU92" s="27" t="s">
        <v>207</v>
      </c>
      <c r="AV92" s="27" t="s">
        <v>613</v>
      </c>
      <c r="AW92" s="82">
        <v>200464375</v>
      </c>
      <c r="AX92" s="30" t="s">
        <v>532</v>
      </c>
      <c r="AY92" s="30" t="s">
        <v>559</v>
      </c>
      <c r="AZ92" s="27" t="s">
        <v>558</v>
      </c>
      <c r="BA92" s="27" t="s">
        <v>515</v>
      </c>
      <c r="BB92" s="16" t="s">
        <v>627</v>
      </c>
      <c r="BC92" s="27"/>
      <c r="BD92" s="675"/>
      <c r="BE92" s="669"/>
      <c r="BF92" s="681"/>
      <c r="BG92" s="186" t="s">
        <v>769</v>
      </c>
    </row>
    <row r="93" spans="1:59" s="14" customFormat="1" ht="111.75" customHeight="1" x14ac:dyDescent="0.35">
      <c r="A93" s="536"/>
      <c r="B93" s="461"/>
      <c r="C93" s="26"/>
      <c r="D93" s="26"/>
      <c r="E93" s="26"/>
      <c r="F93" s="389"/>
      <c r="G93" s="389"/>
      <c r="H93" s="389"/>
      <c r="I93" s="389"/>
      <c r="J93" s="463"/>
      <c r="K93" s="28" t="s">
        <v>257</v>
      </c>
      <c r="L93" s="28" t="s">
        <v>258</v>
      </c>
      <c r="M93" s="325" t="s">
        <v>259</v>
      </c>
      <c r="N93" s="28" t="s">
        <v>259</v>
      </c>
      <c r="O93" s="28">
        <v>400</v>
      </c>
      <c r="P93" s="28">
        <v>100</v>
      </c>
      <c r="Q93" s="28">
        <v>100</v>
      </c>
      <c r="R93" s="28">
        <v>100</v>
      </c>
      <c r="S93" s="28">
        <v>0</v>
      </c>
      <c r="T93" s="28">
        <v>30</v>
      </c>
      <c r="U93" s="28">
        <v>25</v>
      </c>
      <c r="V93" s="28">
        <v>30</v>
      </c>
      <c r="W93" s="28"/>
      <c r="X93" s="28">
        <v>100</v>
      </c>
      <c r="Y93" s="28">
        <v>200</v>
      </c>
      <c r="Z93" s="28">
        <v>25</v>
      </c>
      <c r="AA93" s="28">
        <v>25</v>
      </c>
      <c r="AB93" s="28">
        <f>+AA93+Z93</f>
        <v>50</v>
      </c>
      <c r="AC93" s="210">
        <f t="shared" si="4"/>
        <v>0.5</v>
      </c>
      <c r="AD93" s="28">
        <f t="shared" si="5"/>
        <v>250</v>
      </c>
      <c r="AE93" s="173">
        <f t="shared" si="6"/>
        <v>0.625</v>
      </c>
      <c r="AF93" s="572"/>
      <c r="AG93" s="607"/>
      <c r="AH93" s="573"/>
      <c r="AI93" s="28" t="s">
        <v>260</v>
      </c>
      <c r="AJ93" s="8">
        <v>1</v>
      </c>
      <c r="AK93" s="28" t="s">
        <v>503</v>
      </c>
      <c r="AL93" s="28">
        <v>365</v>
      </c>
      <c r="AM93" s="8">
        <v>1</v>
      </c>
      <c r="AN93" s="28"/>
      <c r="AO93" s="28"/>
      <c r="AP93" s="27">
        <v>0</v>
      </c>
      <c r="AQ93" s="29">
        <v>0</v>
      </c>
      <c r="AR93" s="27">
        <v>25</v>
      </c>
      <c r="AS93" s="8">
        <v>0.5</v>
      </c>
      <c r="AT93" s="27" t="s">
        <v>140</v>
      </c>
      <c r="AU93" s="27" t="s">
        <v>207</v>
      </c>
      <c r="AV93" s="27"/>
      <c r="AW93" s="82"/>
      <c r="AX93" s="30"/>
      <c r="AY93" s="30"/>
      <c r="AZ93" s="27"/>
      <c r="BA93" s="27" t="s">
        <v>515</v>
      </c>
      <c r="BB93" s="16" t="s">
        <v>627</v>
      </c>
      <c r="BC93" s="27"/>
      <c r="BD93" s="675"/>
      <c r="BE93" s="669"/>
      <c r="BF93" s="681"/>
      <c r="BG93" s="186" t="s">
        <v>769</v>
      </c>
    </row>
    <row r="94" spans="1:59" s="14" customFormat="1" ht="111.75" customHeight="1" x14ac:dyDescent="0.35">
      <c r="A94" s="536"/>
      <c r="B94" s="461"/>
      <c r="C94" s="26"/>
      <c r="D94" s="26"/>
      <c r="E94" s="26"/>
      <c r="F94" s="389"/>
      <c r="G94" s="389"/>
      <c r="H94" s="389"/>
      <c r="I94" s="389"/>
      <c r="J94" s="463"/>
      <c r="K94" s="28"/>
      <c r="L94" s="28"/>
      <c r="M94" s="325"/>
      <c r="N94" s="28"/>
      <c r="O94" s="28"/>
      <c r="P94" s="28"/>
      <c r="Q94" s="28"/>
      <c r="R94" s="28"/>
      <c r="S94" s="28"/>
      <c r="T94" s="28"/>
      <c r="U94" s="28"/>
      <c r="V94" s="28"/>
      <c r="W94" s="28"/>
      <c r="X94" s="28"/>
      <c r="Y94" s="28"/>
      <c r="Z94" s="28"/>
      <c r="AA94" s="28"/>
      <c r="AB94" s="28"/>
      <c r="AC94" s="210"/>
      <c r="AD94" s="28"/>
      <c r="AE94" s="173"/>
      <c r="AF94" s="573"/>
      <c r="AG94" s="608" t="s">
        <v>255</v>
      </c>
      <c r="AH94" s="609"/>
      <c r="AI94" s="609"/>
      <c r="AJ94" s="609"/>
      <c r="AK94" s="609"/>
      <c r="AL94" s="609"/>
      <c r="AM94" s="609"/>
      <c r="AN94" s="609"/>
      <c r="AO94" s="609"/>
      <c r="AP94" s="609"/>
      <c r="AQ94" s="609"/>
      <c r="AR94" s="610"/>
      <c r="AS94" s="336">
        <f>AVERAGE(AS92:AS93)</f>
        <v>0.5</v>
      </c>
      <c r="AT94" s="27"/>
      <c r="AU94" s="27"/>
      <c r="AV94" s="27"/>
      <c r="AW94" s="82"/>
      <c r="AX94" s="30"/>
      <c r="AY94" s="30"/>
      <c r="AZ94" s="27"/>
      <c r="BA94" s="27"/>
      <c r="BB94" s="16"/>
      <c r="BC94" s="27"/>
      <c r="BD94" s="675"/>
      <c r="BE94" s="669"/>
      <c r="BF94" s="681"/>
      <c r="BG94" s="186"/>
    </row>
    <row r="95" spans="1:59" s="14" customFormat="1" ht="87" customHeight="1" x14ac:dyDescent="0.35">
      <c r="A95" s="536"/>
      <c r="B95" s="461"/>
      <c r="C95" s="26"/>
      <c r="D95" s="26"/>
      <c r="E95" s="26"/>
      <c r="F95" s="389"/>
      <c r="G95" s="389"/>
      <c r="H95" s="389"/>
      <c r="I95" s="389"/>
      <c r="J95" s="463"/>
      <c r="K95" s="276" t="s">
        <v>262</v>
      </c>
      <c r="L95" s="100" t="s">
        <v>263</v>
      </c>
      <c r="M95" s="338" t="s">
        <v>264</v>
      </c>
      <c r="N95" s="276" t="s">
        <v>264</v>
      </c>
      <c r="O95" s="276">
        <v>76</v>
      </c>
      <c r="P95" s="276" t="s">
        <v>254</v>
      </c>
      <c r="Q95" s="276">
        <v>17</v>
      </c>
      <c r="R95" s="100">
        <v>1</v>
      </c>
      <c r="S95" s="100">
        <v>0</v>
      </c>
      <c r="T95" s="100">
        <v>0.5</v>
      </c>
      <c r="U95" s="100">
        <v>0.3</v>
      </c>
      <c r="V95" s="100">
        <v>0.2</v>
      </c>
      <c r="W95" s="100"/>
      <c r="X95" s="335">
        <v>36</v>
      </c>
      <c r="Y95" s="335">
        <v>36</v>
      </c>
      <c r="Z95" s="276">
        <v>0</v>
      </c>
      <c r="AA95" s="276">
        <f>0.25*36</f>
        <v>9</v>
      </c>
      <c r="AB95" s="276">
        <f>+AA95</f>
        <v>9</v>
      </c>
      <c r="AC95" s="178">
        <f t="shared" si="4"/>
        <v>0.25</v>
      </c>
      <c r="AD95" s="335">
        <f t="shared" si="5"/>
        <v>45</v>
      </c>
      <c r="AE95" s="178">
        <f t="shared" si="6"/>
        <v>0.59210526315789469</v>
      </c>
      <c r="AF95" s="589" t="s">
        <v>265</v>
      </c>
      <c r="AG95" s="611">
        <v>2020130010146</v>
      </c>
      <c r="AH95" s="589" t="s">
        <v>266</v>
      </c>
      <c r="AI95" s="98" t="s">
        <v>267</v>
      </c>
      <c r="AJ95" s="100">
        <v>1</v>
      </c>
      <c r="AK95" s="276" t="s">
        <v>503</v>
      </c>
      <c r="AL95" s="276">
        <v>365</v>
      </c>
      <c r="AM95" s="100">
        <v>1</v>
      </c>
      <c r="AN95" s="276"/>
      <c r="AO95" s="276"/>
      <c r="AP95" s="276">
        <v>0</v>
      </c>
      <c r="AQ95" s="100">
        <v>0</v>
      </c>
      <c r="AR95" s="276">
        <v>25</v>
      </c>
      <c r="AS95" s="100">
        <v>0.5</v>
      </c>
      <c r="AT95" s="85" t="s">
        <v>140</v>
      </c>
      <c r="AU95" s="85" t="s">
        <v>207</v>
      </c>
      <c r="AV95" s="85" t="s">
        <v>613</v>
      </c>
      <c r="AW95" s="86">
        <v>159501611</v>
      </c>
      <c r="AX95" s="84" t="s">
        <v>532</v>
      </c>
      <c r="AY95" s="84" t="s">
        <v>561</v>
      </c>
      <c r="AZ95" s="85" t="s">
        <v>560</v>
      </c>
      <c r="BA95" s="85" t="s">
        <v>515</v>
      </c>
      <c r="BB95" s="123" t="s">
        <v>627</v>
      </c>
      <c r="BC95" s="85"/>
      <c r="BD95" s="675"/>
      <c r="BE95" s="669"/>
      <c r="BF95" s="681"/>
      <c r="BG95" s="187" t="s">
        <v>769</v>
      </c>
    </row>
    <row r="96" spans="1:59" s="14" customFormat="1" ht="125.25" customHeight="1" x14ac:dyDescent="0.35">
      <c r="A96" s="536"/>
      <c r="B96" s="461"/>
      <c r="C96" s="26"/>
      <c r="D96" s="26"/>
      <c r="E96" s="26"/>
      <c r="F96" s="389"/>
      <c r="G96" s="389"/>
      <c r="H96" s="389"/>
      <c r="I96" s="389"/>
      <c r="J96" s="463"/>
      <c r="K96" s="276" t="s">
        <v>268</v>
      </c>
      <c r="L96" s="276" t="s">
        <v>269</v>
      </c>
      <c r="M96" s="323" t="s">
        <v>270</v>
      </c>
      <c r="N96" s="276" t="s">
        <v>270</v>
      </c>
      <c r="O96" s="276">
        <f>75*4</f>
        <v>300</v>
      </c>
      <c r="P96" s="276">
        <v>75</v>
      </c>
      <c r="Q96" s="276">
        <v>17</v>
      </c>
      <c r="R96" s="276">
        <v>75</v>
      </c>
      <c r="S96" s="276">
        <v>0</v>
      </c>
      <c r="T96" s="276">
        <v>25</v>
      </c>
      <c r="U96" s="276">
        <v>25</v>
      </c>
      <c r="V96" s="276">
        <v>25</v>
      </c>
      <c r="W96" s="276"/>
      <c r="X96" s="276">
        <v>75</v>
      </c>
      <c r="Y96" s="276">
        <v>155</v>
      </c>
      <c r="Z96" s="276">
        <v>0</v>
      </c>
      <c r="AA96" s="276">
        <v>25</v>
      </c>
      <c r="AB96" s="276">
        <f>+AA96</f>
        <v>25</v>
      </c>
      <c r="AC96" s="178">
        <f t="shared" si="4"/>
        <v>0.33333333333333331</v>
      </c>
      <c r="AD96" s="335">
        <f t="shared" si="5"/>
        <v>180</v>
      </c>
      <c r="AE96" s="178">
        <f t="shared" si="6"/>
        <v>0.6</v>
      </c>
      <c r="AF96" s="590"/>
      <c r="AG96" s="612"/>
      <c r="AH96" s="590"/>
      <c r="AI96" s="98" t="s">
        <v>647</v>
      </c>
      <c r="AJ96" s="276">
        <v>17</v>
      </c>
      <c r="AK96" s="276" t="s">
        <v>503</v>
      </c>
      <c r="AL96" s="276">
        <v>365</v>
      </c>
      <c r="AM96" s="276">
        <v>17</v>
      </c>
      <c r="AN96" s="276"/>
      <c r="AO96" s="276"/>
      <c r="AP96" s="276">
        <v>0</v>
      </c>
      <c r="AQ96" s="100">
        <v>0</v>
      </c>
      <c r="AR96" s="276">
        <v>6</v>
      </c>
      <c r="AS96" s="100" t="s">
        <v>770</v>
      </c>
      <c r="AT96" s="85" t="s">
        <v>140</v>
      </c>
      <c r="AU96" s="85" t="s">
        <v>207</v>
      </c>
      <c r="AV96" s="85"/>
      <c r="AW96" s="86"/>
      <c r="AX96" s="84"/>
      <c r="AY96" s="84"/>
      <c r="AZ96" s="85"/>
      <c r="BA96" s="85" t="s">
        <v>515</v>
      </c>
      <c r="BB96" s="123" t="s">
        <v>608</v>
      </c>
      <c r="BC96" s="85"/>
      <c r="BD96" s="675"/>
      <c r="BE96" s="669"/>
      <c r="BF96" s="681"/>
      <c r="BG96" s="187" t="s">
        <v>769</v>
      </c>
    </row>
    <row r="97" spans="1:59" s="14" customFormat="1" ht="87" customHeight="1" x14ac:dyDescent="0.35">
      <c r="A97" s="536"/>
      <c r="B97" s="461"/>
      <c r="C97" s="26"/>
      <c r="D97" s="26"/>
      <c r="E97" s="26"/>
      <c r="F97" s="389"/>
      <c r="G97" s="389"/>
      <c r="H97" s="389"/>
      <c r="I97" s="389"/>
      <c r="J97" s="463"/>
      <c r="K97" s="276" t="s">
        <v>271</v>
      </c>
      <c r="L97" s="276" t="s">
        <v>272</v>
      </c>
      <c r="M97" s="323" t="s">
        <v>273</v>
      </c>
      <c r="N97" s="276" t="s">
        <v>273</v>
      </c>
      <c r="O97" s="276">
        <f>18*4</f>
        <v>72</v>
      </c>
      <c r="P97" s="276">
        <v>18</v>
      </c>
      <c r="Q97" s="276">
        <v>17</v>
      </c>
      <c r="R97" s="276">
        <v>18</v>
      </c>
      <c r="S97" s="276">
        <v>0</v>
      </c>
      <c r="T97" s="276">
        <v>4</v>
      </c>
      <c r="U97" s="276">
        <v>4</v>
      </c>
      <c r="V97" s="276">
        <v>7</v>
      </c>
      <c r="W97" s="276"/>
      <c r="X97" s="276">
        <v>18</v>
      </c>
      <c r="Y97" s="276">
        <v>35</v>
      </c>
      <c r="Z97" s="276">
        <v>0</v>
      </c>
      <c r="AA97" s="276">
        <v>0</v>
      </c>
      <c r="AB97" s="276">
        <f>+AA97</f>
        <v>0</v>
      </c>
      <c r="AC97" s="100">
        <v>0</v>
      </c>
      <c r="AD97" s="276">
        <f>+Y97</f>
        <v>35</v>
      </c>
      <c r="AE97" s="178">
        <f t="shared" si="6"/>
        <v>0.4861111111111111</v>
      </c>
      <c r="AF97" s="590"/>
      <c r="AG97" s="612"/>
      <c r="AH97" s="590"/>
      <c r="AI97" s="98" t="s">
        <v>274</v>
      </c>
      <c r="AJ97" s="276">
        <v>75</v>
      </c>
      <c r="AK97" s="276" t="s">
        <v>503</v>
      </c>
      <c r="AL97" s="276">
        <v>365</v>
      </c>
      <c r="AM97" s="276">
        <v>75</v>
      </c>
      <c r="AN97" s="276"/>
      <c r="AO97" s="276"/>
      <c r="AP97" s="276">
        <v>0</v>
      </c>
      <c r="AQ97" s="100">
        <v>0</v>
      </c>
      <c r="AR97" s="276">
        <v>25</v>
      </c>
      <c r="AS97" s="100">
        <v>0.33</v>
      </c>
      <c r="AT97" s="85" t="s">
        <v>140</v>
      </c>
      <c r="AU97" s="85" t="s">
        <v>207</v>
      </c>
      <c r="AV97" s="85"/>
      <c r="AW97" s="86"/>
      <c r="AX97" s="84"/>
      <c r="AY97" s="84"/>
      <c r="AZ97" s="85"/>
      <c r="BA97" s="85" t="s">
        <v>515</v>
      </c>
      <c r="BB97" s="123" t="s">
        <v>608</v>
      </c>
      <c r="BC97" s="85"/>
      <c r="BD97" s="675"/>
      <c r="BE97" s="669"/>
      <c r="BF97" s="681"/>
      <c r="BG97" s="187" t="s">
        <v>769</v>
      </c>
    </row>
    <row r="98" spans="1:59" s="14" customFormat="1" ht="57" customHeight="1" x14ac:dyDescent="0.35">
      <c r="A98" s="536"/>
      <c r="B98" s="461"/>
      <c r="C98" s="26"/>
      <c r="D98" s="26"/>
      <c r="E98" s="26"/>
      <c r="F98" s="389"/>
      <c r="G98" s="389"/>
      <c r="H98" s="389"/>
      <c r="I98" s="389"/>
      <c r="J98" s="463"/>
      <c r="K98" s="468" t="s">
        <v>200</v>
      </c>
      <c r="L98" s="468"/>
      <c r="M98" s="468"/>
      <c r="N98" s="468"/>
      <c r="O98" s="468"/>
      <c r="P98" s="468"/>
      <c r="Q98" s="468"/>
      <c r="R98" s="468"/>
      <c r="S98" s="468"/>
      <c r="T98" s="468"/>
      <c r="U98" s="468"/>
      <c r="V98" s="468"/>
      <c r="W98" s="468"/>
      <c r="X98" s="468"/>
      <c r="Y98" s="468"/>
      <c r="Z98" s="468"/>
      <c r="AA98" s="468"/>
      <c r="AB98" s="468"/>
      <c r="AC98" s="336">
        <f>AVERAGE(AC79:AC97)</f>
        <v>0.43496893274853798</v>
      </c>
      <c r="AD98" s="343"/>
      <c r="AE98" s="304">
        <f>AVERAGE(AE79:AE97)</f>
        <v>0.62285494334795322</v>
      </c>
      <c r="AF98" s="590"/>
      <c r="AG98" s="613"/>
      <c r="AH98" s="591"/>
      <c r="AI98" s="98"/>
      <c r="AJ98" s="276"/>
      <c r="AK98" s="276"/>
      <c r="AL98" s="276"/>
      <c r="AM98" s="276"/>
      <c r="AN98" s="276"/>
      <c r="AO98" s="276"/>
      <c r="AP98" s="276"/>
      <c r="AQ98" s="100"/>
      <c r="AR98" s="276"/>
      <c r="AS98" s="100"/>
      <c r="AT98" s="85"/>
      <c r="AU98" s="85"/>
      <c r="AV98" s="85"/>
      <c r="AW98" s="86"/>
      <c r="AX98" s="84"/>
      <c r="AY98" s="84"/>
      <c r="AZ98" s="85"/>
      <c r="BA98" s="85"/>
      <c r="BB98" s="123"/>
      <c r="BC98" s="85"/>
      <c r="BD98" s="675"/>
      <c r="BE98" s="669"/>
      <c r="BF98" s="681"/>
      <c r="BG98" s="187"/>
    </row>
    <row r="99" spans="1:59" s="14" customFormat="1" ht="57" customHeight="1" x14ac:dyDescent="0.35">
      <c r="A99" s="536"/>
      <c r="B99" s="461"/>
      <c r="C99" s="26"/>
      <c r="D99" s="26"/>
      <c r="E99" s="26"/>
      <c r="F99" s="389"/>
      <c r="G99" s="389"/>
      <c r="H99" s="389"/>
      <c r="I99" s="389"/>
      <c r="J99" s="464"/>
      <c r="K99" s="343"/>
      <c r="L99" s="343"/>
      <c r="M99" s="343"/>
      <c r="N99" s="343"/>
      <c r="O99" s="343"/>
      <c r="P99" s="343"/>
      <c r="Q99" s="343"/>
      <c r="R99" s="343"/>
      <c r="S99" s="343"/>
      <c r="T99" s="343"/>
      <c r="U99" s="343"/>
      <c r="V99" s="343"/>
      <c r="W99" s="343"/>
      <c r="X99" s="343"/>
      <c r="Y99" s="343"/>
      <c r="Z99" s="343"/>
      <c r="AA99" s="343"/>
      <c r="AB99" s="343"/>
      <c r="AC99" s="336"/>
      <c r="AD99" s="343"/>
      <c r="AE99" s="304"/>
      <c r="AF99" s="591"/>
      <c r="AG99" s="608" t="s">
        <v>265</v>
      </c>
      <c r="AH99" s="609"/>
      <c r="AI99" s="609"/>
      <c r="AJ99" s="609"/>
      <c r="AK99" s="609"/>
      <c r="AL99" s="609"/>
      <c r="AM99" s="609"/>
      <c r="AN99" s="609"/>
      <c r="AO99" s="609"/>
      <c r="AP99" s="609"/>
      <c r="AQ99" s="609"/>
      <c r="AR99" s="610"/>
      <c r="AS99" s="336">
        <f>AVERAGE(AS95:AS98)</f>
        <v>0.41500000000000004</v>
      </c>
      <c r="AT99" s="85"/>
      <c r="AU99" s="85"/>
      <c r="AV99" s="85"/>
      <c r="AW99" s="86"/>
      <c r="AX99" s="84"/>
      <c r="AY99" s="84"/>
      <c r="AZ99" s="85"/>
      <c r="BA99" s="85"/>
      <c r="BB99" s="123"/>
      <c r="BC99" s="85"/>
      <c r="BD99" s="676"/>
      <c r="BE99" s="670"/>
      <c r="BF99" s="682"/>
      <c r="BG99" s="187"/>
    </row>
    <row r="100" spans="1:59" s="14" customFormat="1" ht="109.5" customHeight="1" x14ac:dyDescent="0.35">
      <c r="A100" s="536"/>
      <c r="B100" s="461"/>
      <c r="C100" s="26"/>
      <c r="D100" s="26"/>
      <c r="E100" s="26"/>
      <c r="F100" s="389"/>
      <c r="G100" s="389"/>
      <c r="H100" s="389"/>
      <c r="I100" s="389"/>
      <c r="J100" s="683" t="s">
        <v>275</v>
      </c>
      <c r="K100" s="28" t="s">
        <v>276</v>
      </c>
      <c r="L100" s="28">
        <v>0</v>
      </c>
      <c r="M100" s="325" t="s">
        <v>277</v>
      </c>
      <c r="N100" s="28" t="s">
        <v>277</v>
      </c>
      <c r="O100" s="28">
        <v>4</v>
      </c>
      <c r="P100" s="28">
        <v>1</v>
      </c>
      <c r="Q100" s="28">
        <v>1</v>
      </c>
      <c r="R100" s="28">
        <v>1</v>
      </c>
      <c r="S100" s="28">
        <v>0.13</v>
      </c>
      <c r="T100" s="28">
        <v>0.2</v>
      </c>
      <c r="U100" s="28">
        <v>0.2</v>
      </c>
      <c r="V100" s="28">
        <v>0.17</v>
      </c>
      <c r="W100" s="28"/>
      <c r="X100" s="28">
        <v>1</v>
      </c>
      <c r="Y100" s="28">
        <v>1.7</v>
      </c>
      <c r="Z100" s="217">
        <v>0.25</v>
      </c>
      <c r="AA100" s="217">
        <v>0.3</v>
      </c>
      <c r="AB100" s="217">
        <f>+AA100+Z100</f>
        <v>0.55000000000000004</v>
      </c>
      <c r="AC100" s="173">
        <v>0.55000000000000004</v>
      </c>
      <c r="AD100" s="217">
        <f>+AB100+Y100</f>
        <v>2.25</v>
      </c>
      <c r="AE100" s="173">
        <f>+AD100/O100</f>
        <v>0.5625</v>
      </c>
      <c r="AF100" s="577" t="s">
        <v>278</v>
      </c>
      <c r="AG100" s="571">
        <v>2020130010166</v>
      </c>
      <c r="AH100" s="571" t="s">
        <v>279</v>
      </c>
      <c r="AI100" s="61" t="s">
        <v>280</v>
      </c>
      <c r="AJ100" s="28">
        <v>100</v>
      </c>
      <c r="AK100" s="28" t="s">
        <v>503</v>
      </c>
      <c r="AL100" s="28">
        <v>365</v>
      </c>
      <c r="AM100" s="28">
        <v>100</v>
      </c>
      <c r="AN100" s="28"/>
      <c r="AO100" s="28"/>
      <c r="AP100" s="28" t="s">
        <v>800</v>
      </c>
      <c r="AQ100" s="8">
        <v>0.25</v>
      </c>
      <c r="AR100" s="28" t="s">
        <v>801</v>
      </c>
      <c r="AS100" s="8">
        <v>0.55000000000000004</v>
      </c>
      <c r="AT100" s="27" t="s">
        <v>140</v>
      </c>
      <c r="AU100" s="27" t="s">
        <v>281</v>
      </c>
      <c r="AV100" s="27" t="s">
        <v>613</v>
      </c>
      <c r="AW100" s="82">
        <v>624000000</v>
      </c>
      <c r="AX100" s="30" t="s">
        <v>532</v>
      </c>
      <c r="AY100" s="30" t="s">
        <v>563</v>
      </c>
      <c r="AZ100" s="27" t="s">
        <v>562</v>
      </c>
      <c r="BA100" s="27" t="s">
        <v>515</v>
      </c>
      <c r="BB100" s="16" t="s">
        <v>608</v>
      </c>
      <c r="BC100" s="27"/>
      <c r="BD100" s="668">
        <v>624000000</v>
      </c>
      <c r="BE100" s="668">
        <v>190400000</v>
      </c>
      <c r="BF100" s="677">
        <f>+BE100/BD100</f>
        <v>0.30512820512820515</v>
      </c>
      <c r="BG100" s="27" t="s">
        <v>772</v>
      </c>
    </row>
    <row r="101" spans="1:59" s="14" customFormat="1" ht="102" customHeight="1" x14ac:dyDescent="0.35">
      <c r="A101" s="536"/>
      <c r="B101" s="461"/>
      <c r="C101" s="26"/>
      <c r="D101" s="26"/>
      <c r="E101" s="26"/>
      <c r="F101" s="389"/>
      <c r="G101" s="389"/>
      <c r="H101" s="389"/>
      <c r="I101" s="389"/>
      <c r="J101" s="684"/>
      <c r="K101" s="28" t="s">
        <v>282</v>
      </c>
      <c r="L101" s="8" t="s">
        <v>283</v>
      </c>
      <c r="M101" s="325" t="s">
        <v>284</v>
      </c>
      <c r="N101" s="28" t="s">
        <v>284</v>
      </c>
      <c r="O101" s="28">
        <v>1</v>
      </c>
      <c r="P101" s="28">
        <v>1</v>
      </c>
      <c r="Q101" s="28">
        <v>1</v>
      </c>
      <c r="R101" s="28">
        <v>1</v>
      </c>
      <c r="S101" s="28">
        <v>0</v>
      </c>
      <c r="T101" s="28">
        <v>0.5</v>
      </c>
      <c r="U101" s="28">
        <v>0.25</v>
      </c>
      <c r="V101" s="28">
        <v>0.15</v>
      </c>
      <c r="W101" s="28"/>
      <c r="X101" s="28">
        <v>1</v>
      </c>
      <c r="Y101" s="8">
        <v>0.48</v>
      </c>
      <c r="Z101" s="217">
        <v>0.25</v>
      </c>
      <c r="AA101" s="217">
        <v>0.25</v>
      </c>
      <c r="AB101" s="217">
        <v>0.5</v>
      </c>
      <c r="AC101" s="173">
        <v>0.5</v>
      </c>
      <c r="AD101" s="217">
        <f>+Y101+(6.25%*2)</f>
        <v>0.60499999999999998</v>
      </c>
      <c r="AE101" s="173">
        <f>+AD101/O101</f>
        <v>0.60499999999999998</v>
      </c>
      <c r="AF101" s="578"/>
      <c r="AG101" s="572"/>
      <c r="AH101" s="572"/>
      <c r="AI101" s="101" t="s">
        <v>285</v>
      </c>
      <c r="AJ101" s="8">
        <v>1</v>
      </c>
      <c r="AK101" s="8" t="s">
        <v>503</v>
      </c>
      <c r="AL101" s="28">
        <v>365</v>
      </c>
      <c r="AM101" s="8">
        <v>1</v>
      </c>
      <c r="AN101" s="8"/>
      <c r="AO101" s="8"/>
      <c r="AP101" s="8" t="s">
        <v>803</v>
      </c>
      <c r="AQ101" s="8">
        <v>0.25</v>
      </c>
      <c r="AR101" s="8" t="s">
        <v>802</v>
      </c>
      <c r="AS101" s="8">
        <v>0.5</v>
      </c>
      <c r="AT101" s="27" t="s">
        <v>140</v>
      </c>
      <c r="AU101" s="27" t="s">
        <v>281</v>
      </c>
      <c r="AV101" s="27"/>
      <c r="AW101" s="82"/>
      <c r="AX101" s="30"/>
      <c r="AY101" s="30"/>
      <c r="AZ101" s="27"/>
      <c r="BA101" s="27" t="s">
        <v>515</v>
      </c>
      <c r="BB101" s="16" t="s">
        <v>626</v>
      </c>
      <c r="BC101" s="27"/>
      <c r="BD101" s="669"/>
      <c r="BE101" s="669"/>
      <c r="BF101" s="678"/>
      <c r="BG101" s="27" t="s">
        <v>773</v>
      </c>
    </row>
    <row r="102" spans="1:59" s="14" customFormat="1" ht="88.5" customHeight="1" x14ac:dyDescent="0.35">
      <c r="A102" s="536"/>
      <c r="B102" s="461"/>
      <c r="C102" s="26"/>
      <c r="D102" s="26"/>
      <c r="E102" s="26"/>
      <c r="F102" s="389"/>
      <c r="G102" s="389"/>
      <c r="H102" s="389"/>
      <c r="I102" s="389"/>
      <c r="J102" s="684"/>
      <c r="K102" s="28" t="s">
        <v>648</v>
      </c>
      <c r="L102" s="28" t="s">
        <v>286</v>
      </c>
      <c r="M102" s="325" t="s">
        <v>828</v>
      </c>
      <c r="N102" s="28" t="s">
        <v>649</v>
      </c>
      <c r="O102" s="28" t="s">
        <v>287</v>
      </c>
      <c r="P102" s="28">
        <v>0</v>
      </c>
      <c r="Q102" s="28">
        <v>3.9</v>
      </c>
      <c r="R102" s="28">
        <v>0</v>
      </c>
      <c r="S102" s="28">
        <v>0</v>
      </c>
      <c r="T102" s="28">
        <v>1.31</v>
      </c>
      <c r="U102" s="28">
        <v>1.31</v>
      </c>
      <c r="V102" s="28">
        <v>2.2999999999999998</v>
      </c>
      <c r="W102" s="28"/>
      <c r="X102" s="28" t="s">
        <v>287</v>
      </c>
      <c r="Y102" s="28" t="s">
        <v>287</v>
      </c>
      <c r="Z102" s="28" t="s">
        <v>287</v>
      </c>
      <c r="AA102" s="28" t="s">
        <v>287</v>
      </c>
      <c r="AB102" s="28" t="s">
        <v>287</v>
      </c>
      <c r="AC102" s="8">
        <v>0.5</v>
      </c>
      <c r="AD102" s="15">
        <f>59%+6.25%</f>
        <v>0.65249999999999997</v>
      </c>
      <c r="AE102" s="15">
        <f>+AD102</f>
        <v>0.65249999999999997</v>
      </c>
      <c r="AF102" s="578"/>
      <c r="AG102" s="572"/>
      <c r="AH102" s="572"/>
      <c r="AI102" s="61" t="s">
        <v>288</v>
      </c>
      <c r="AJ102" s="28">
        <v>4</v>
      </c>
      <c r="AK102" s="28" t="s">
        <v>503</v>
      </c>
      <c r="AL102" s="28">
        <v>365</v>
      </c>
      <c r="AM102" s="28">
        <v>4</v>
      </c>
      <c r="AN102" s="28"/>
      <c r="AO102" s="28"/>
      <c r="AP102" s="218">
        <v>0.2</v>
      </c>
      <c r="AQ102" s="8">
        <v>0.25</v>
      </c>
      <c r="AR102" s="218">
        <v>2.1800000000000002</v>
      </c>
      <c r="AS102" s="173">
        <v>0.5</v>
      </c>
      <c r="AT102" s="27" t="s">
        <v>140</v>
      </c>
      <c r="AU102" s="27" t="s">
        <v>281</v>
      </c>
      <c r="AV102" s="27"/>
      <c r="AW102" s="82"/>
      <c r="AX102" s="30"/>
      <c r="AY102" s="30"/>
      <c r="AZ102" s="27"/>
      <c r="BA102" s="27" t="s">
        <v>515</v>
      </c>
      <c r="BB102" s="16" t="s">
        <v>626</v>
      </c>
      <c r="BC102" s="27"/>
      <c r="BD102" s="669"/>
      <c r="BE102" s="669"/>
      <c r="BF102" s="678"/>
      <c r="BG102" s="27" t="s">
        <v>774</v>
      </c>
    </row>
    <row r="103" spans="1:59" s="14" customFormat="1" ht="144" customHeight="1" x14ac:dyDescent="0.35">
      <c r="A103" s="536"/>
      <c r="B103" s="461"/>
      <c r="C103" s="26"/>
      <c r="D103" s="26"/>
      <c r="E103" s="26"/>
      <c r="F103" s="389"/>
      <c r="G103" s="389"/>
      <c r="H103" s="389"/>
      <c r="I103" s="389"/>
      <c r="J103" s="684"/>
      <c r="K103" s="28" t="s">
        <v>650</v>
      </c>
      <c r="L103" s="8" t="s">
        <v>289</v>
      </c>
      <c r="M103" s="325" t="s">
        <v>290</v>
      </c>
      <c r="N103" s="28" t="s">
        <v>290</v>
      </c>
      <c r="O103" s="28">
        <f>19*4</f>
        <v>76</v>
      </c>
      <c r="P103" s="28">
        <v>19</v>
      </c>
      <c r="Q103" s="28">
        <v>11</v>
      </c>
      <c r="R103" s="28">
        <v>19</v>
      </c>
      <c r="S103" s="28">
        <v>1</v>
      </c>
      <c r="T103" s="28">
        <v>15</v>
      </c>
      <c r="U103" s="28">
        <v>8</v>
      </c>
      <c r="V103" s="28">
        <v>0</v>
      </c>
      <c r="W103" s="28"/>
      <c r="X103" s="28">
        <v>19</v>
      </c>
      <c r="Y103" s="28">
        <v>42</v>
      </c>
      <c r="Z103" s="217">
        <v>5</v>
      </c>
      <c r="AA103" s="217">
        <v>5</v>
      </c>
      <c r="AB103" s="217">
        <f>+AA103+Z103</f>
        <v>10</v>
      </c>
      <c r="AC103" s="173">
        <f>+AB103/X103</f>
        <v>0.52631578947368418</v>
      </c>
      <c r="AD103" s="217">
        <f>+AB103+Y103</f>
        <v>52</v>
      </c>
      <c r="AE103" s="173">
        <f>+AD103/O103</f>
        <v>0.68421052631578949</v>
      </c>
      <c r="AF103" s="578"/>
      <c r="AG103" s="572"/>
      <c r="AH103" s="572"/>
      <c r="AI103" s="61" t="s">
        <v>291</v>
      </c>
      <c r="AJ103" s="28">
        <v>100</v>
      </c>
      <c r="AK103" s="28" t="s">
        <v>503</v>
      </c>
      <c r="AL103" s="28">
        <v>365</v>
      </c>
      <c r="AM103" s="28">
        <v>100</v>
      </c>
      <c r="AN103" s="28"/>
      <c r="AO103" s="28"/>
      <c r="AP103" s="97">
        <v>5</v>
      </c>
      <c r="AQ103" s="8">
        <v>0.26315789473684209</v>
      </c>
      <c r="AR103" s="97">
        <v>14</v>
      </c>
      <c r="AS103" s="8">
        <v>0.5</v>
      </c>
      <c r="AT103" s="27" t="s">
        <v>140</v>
      </c>
      <c r="AU103" s="27" t="s">
        <v>281</v>
      </c>
      <c r="AV103" s="27"/>
      <c r="AW103" s="82"/>
      <c r="AX103" s="30"/>
      <c r="AY103" s="30"/>
      <c r="AZ103" s="27"/>
      <c r="BA103" s="27" t="s">
        <v>515</v>
      </c>
      <c r="BB103" s="16" t="s">
        <v>608</v>
      </c>
      <c r="BC103" s="27"/>
      <c r="BD103" s="669"/>
      <c r="BE103" s="669"/>
      <c r="BF103" s="678"/>
      <c r="BG103" s="27" t="s">
        <v>775</v>
      </c>
    </row>
    <row r="104" spans="1:59" s="14" customFormat="1" ht="147.75" customHeight="1" x14ac:dyDescent="0.35">
      <c r="A104" s="536"/>
      <c r="B104" s="461"/>
      <c r="C104" s="26"/>
      <c r="D104" s="26"/>
      <c r="E104" s="26"/>
      <c r="F104" s="389"/>
      <c r="G104" s="389"/>
      <c r="H104" s="389"/>
      <c r="I104" s="389"/>
      <c r="J104" s="684"/>
      <c r="K104" s="28" t="s">
        <v>651</v>
      </c>
      <c r="L104" s="8" t="s">
        <v>289</v>
      </c>
      <c r="M104" s="325" t="s">
        <v>829</v>
      </c>
      <c r="N104" s="28" t="s">
        <v>652</v>
      </c>
      <c r="O104" s="28">
        <v>76</v>
      </c>
      <c r="P104" s="28">
        <v>19</v>
      </c>
      <c r="Q104" s="28">
        <v>11</v>
      </c>
      <c r="R104" s="28">
        <v>19</v>
      </c>
      <c r="S104" s="28">
        <v>1</v>
      </c>
      <c r="T104" s="28">
        <v>15</v>
      </c>
      <c r="U104" s="28">
        <v>8</v>
      </c>
      <c r="V104" s="28">
        <v>0</v>
      </c>
      <c r="W104" s="28"/>
      <c r="X104" s="28">
        <v>19</v>
      </c>
      <c r="Y104" s="28">
        <v>42</v>
      </c>
      <c r="Z104" s="217">
        <v>5</v>
      </c>
      <c r="AA104" s="217">
        <v>5</v>
      </c>
      <c r="AB104" s="217">
        <f>+AA104+Z104</f>
        <v>10</v>
      </c>
      <c r="AC104" s="173">
        <f>+AB104/X104</f>
        <v>0.52631578947368418</v>
      </c>
      <c r="AD104" s="217">
        <f>+AB104+Y104</f>
        <v>52</v>
      </c>
      <c r="AE104" s="173">
        <f>+AD104/O104</f>
        <v>0.68421052631578949</v>
      </c>
      <c r="AF104" s="579"/>
      <c r="AG104" s="573"/>
      <c r="AH104" s="573"/>
      <c r="AI104" s="61" t="s">
        <v>292</v>
      </c>
      <c r="AJ104" s="28">
        <v>100</v>
      </c>
      <c r="AK104" s="28" t="s">
        <v>503</v>
      </c>
      <c r="AL104" s="28">
        <v>365</v>
      </c>
      <c r="AM104" s="28">
        <v>100</v>
      </c>
      <c r="AN104" s="28"/>
      <c r="AO104" s="28"/>
      <c r="AP104" s="97">
        <v>5</v>
      </c>
      <c r="AQ104" s="8">
        <v>0.26315789473684209</v>
      </c>
      <c r="AR104" s="97">
        <v>14</v>
      </c>
      <c r="AS104" s="8">
        <v>0.5</v>
      </c>
      <c r="AT104" s="27" t="s">
        <v>140</v>
      </c>
      <c r="AU104" s="27" t="s">
        <v>281</v>
      </c>
      <c r="AV104" s="27"/>
      <c r="AW104" s="82"/>
      <c r="AX104" s="30"/>
      <c r="AY104" s="30"/>
      <c r="AZ104" s="27"/>
      <c r="BA104" s="27" t="s">
        <v>515</v>
      </c>
      <c r="BB104" s="16" t="s">
        <v>608</v>
      </c>
      <c r="BC104" s="27"/>
      <c r="BD104" s="669"/>
      <c r="BE104" s="669"/>
      <c r="BF104" s="678"/>
      <c r="BG104" s="27" t="s">
        <v>776</v>
      </c>
    </row>
    <row r="105" spans="1:59" s="14" customFormat="1" ht="62.25" customHeight="1" x14ac:dyDescent="0.35">
      <c r="A105" s="536"/>
      <c r="B105" s="461"/>
      <c r="C105" s="26"/>
      <c r="D105" s="26"/>
      <c r="E105" s="26"/>
      <c r="F105" s="389"/>
      <c r="G105" s="389"/>
      <c r="H105" s="389"/>
      <c r="I105" s="389"/>
      <c r="J105" s="685"/>
      <c r="K105" s="468" t="s">
        <v>275</v>
      </c>
      <c r="L105" s="468"/>
      <c r="M105" s="468"/>
      <c r="N105" s="468"/>
      <c r="O105" s="468"/>
      <c r="P105" s="468"/>
      <c r="Q105" s="468"/>
      <c r="R105" s="468"/>
      <c r="S105" s="468"/>
      <c r="T105" s="468"/>
      <c r="U105" s="468"/>
      <c r="V105" s="468"/>
      <c r="W105" s="468"/>
      <c r="X105" s="468"/>
      <c r="Y105" s="468"/>
      <c r="Z105" s="468"/>
      <c r="AA105" s="468"/>
      <c r="AB105" s="468"/>
      <c r="AC105" s="283">
        <f>AVERAGE(AC100:AC104)</f>
        <v>0.52052631578947373</v>
      </c>
      <c r="AD105" s="397"/>
      <c r="AE105" s="283">
        <f>AVERAGE(AE100:AE104)</f>
        <v>0.63768421052631574</v>
      </c>
      <c r="AF105" s="580" t="s">
        <v>278</v>
      </c>
      <c r="AG105" s="581"/>
      <c r="AH105" s="581"/>
      <c r="AI105" s="581"/>
      <c r="AJ105" s="581"/>
      <c r="AK105" s="581"/>
      <c r="AL105" s="581"/>
      <c r="AM105" s="581"/>
      <c r="AN105" s="581"/>
      <c r="AO105" s="581"/>
      <c r="AP105" s="581"/>
      <c r="AQ105" s="581"/>
      <c r="AR105" s="582"/>
      <c r="AS105" s="336">
        <f>AVERAGE(AS100:AS104)</f>
        <v>0.51</v>
      </c>
      <c r="AT105" s="27"/>
      <c r="AU105" s="27"/>
      <c r="AV105" s="27"/>
      <c r="AW105" s="82"/>
      <c r="AX105" s="30"/>
      <c r="AY105" s="30"/>
      <c r="AZ105" s="27"/>
      <c r="BA105" s="27"/>
      <c r="BB105" s="16"/>
      <c r="BC105" s="27"/>
      <c r="BD105" s="670"/>
      <c r="BE105" s="670"/>
      <c r="BF105" s="679"/>
      <c r="BG105" s="27"/>
    </row>
    <row r="106" spans="1:59" s="14" customFormat="1" ht="83.25" customHeight="1" x14ac:dyDescent="0.35">
      <c r="A106" s="536"/>
      <c r="B106" s="461"/>
      <c r="C106" s="26"/>
      <c r="D106" s="26"/>
      <c r="E106" s="26"/>
      <c r="F106" s="389"/>
      <c r="G106" s="389"/>
      <c r="H106" s="389"/>
      <c r="I106" s="389"/>
      <c r="J106" s="462" t="s">
        <v>293</v>
      </c>
      <c r="K106" s="247" t="s">
        <v>294</v>
      </c>
      <c r="L106" s="247" t="s">
        <v>295</v>
      </c>
      <c r="M106" s="348" t="s">
        <v>296</v>
      </c>
      <c r="N106" s="247" t="s">
        <v>296</v>
      </c>
      <c r="O106" s="102">
        <f>40*4</f>
        <v>160</v>
      </c>
      <c r="P106" s="102">
        <v>40</v>
      </c>
      <c r="Q106" s="102">
        <v>40</v>
      </c>
      <c r="R106" s="102">
        <v>40</v>
      </c>
      <c r="S106" s="102">
        <v>10</v>
      </c>
      <c r="T106" s="102">
        <v>26</v>
      </c>
      <c r="U106" s="102">
        <v>3</v>
      </c>
      <c r="V106" s="102">
        <v>6</v>
      </c>
      <c r="W106" s="102"/>
      <c r="X106" s="102">
        <v>40</v>
      </c>
      <c r="Y106" s="102">
        <v>85</v>
      </c>
      <c r="Z106" s="102">
        <v>10</v>
      </c>
      <c r="AA106" s="102">
        <v>10</v>
      </c>
      <c r="AB106" s="102">
        <f>+AA106+Z106</f>
        <v>20</v>
      </c>
      <c r="AC106" s="349">
        <f>+AB106/X106</f>
        <v>0.5</v>
      </c>
      <c r="AD106" s="102">
        <f>+AB106+Y106</f>
        <v>105</v>
      </c>
      <c r="AE106" s="349">
        <f>+AD106/O106</f>
        <v>0.65625</v>
      </c>
      <c r="AF106" s="598" t="s">
        <v>297</v>
      </c>
      <c r="AG106" s="599">
        <v>2020130010072</v>
      </c>
      <c r="AH106" s="598" t="s">
        <v>298</v>
      </c>
      <c r="AI106" s="103" t="s">
        <v>653</v>
      </c>
      <c r="AJ106" s="104">
        <v>40</v>
      </c>
      <c r="AK106" s="104" t="s">
        <v>503</v>
      </c>
      <c r="AL106" s="104">
        <v>365</v>
      </c>
      <c r="AM106" s="104">
        <v>40</v>
      </c>
      <c r="AN106" s="103"/>
      <c r="AO106" s="103"/>
      <c r="AP106" s="104">
        <v>10</v>
      </c>
      <c r="AQ106" s="188">
        <f>+AP106/AM106</f>
        <v>0.25</v>
      </c>
      <c r="AR106" s="104">
        <v>10</v>
      </c>
      <c r="AS106" s="188">
        <v>0.5</v>
      </c>
      <c r="AT106" s="105" t="s">
        <v>172</v>
      </c>
      <c r="AU106" s="105" t="s">
        <v>299</v>
      </c>
      <c r="AV106" s="105" t="s">
        <v>613</v>
      </c>
      <c r="AW106" s="106">
        <v>304000000</v>
      </c>
      <c r="AX106" s="107" t="s">
        <v>532</v>
      </c>
      <c r="AY106" s="107" t="s">
        <v>565</v>
      </c>
      <c r="AZ106" s="105" t="s">
        <v>564</v>
      </c>
      <c r="BA106" s="105" t="s">
        <v>515</v>
      </c>
      <c r="BB106" s="126" t="s">
        <v>608</v>
      </c>
      <c r="BC106" s="105"/>
      <c r="BD106" s="674">
        <v>659680000</v>
      </c>
      <c r="BE106" s="674">
        <v>416520520</v>
      </c>
      <c r="BF106" s="677">
        <f>+BE106/BD106</f>
        <v>0.63139782925054577</v>
      </c>
      <c r="BG106" s="105" t="s">
        <v>777</v>
      </c>
    </row>
    <row r="107" spans="1:59" s="14" customFormat="1" ht="66" customHeight="1" x14ac:dyDescent="0.35">
      <c r="A107" s="536"/>
      <c r="B107" s="461"/>
      <c r="C107" s="26"/>
      <c r="D107" s="26"/>
      <c r="E107" s="26"/>
      <c r="F107" s="389"/>
      <c r="G107" s="389"/>
      <c r="H107" s="389"/>
      <c r="I107" s="389"/>
      <c r="J107" s="463"/>
      <c r="K107" s="247" t="s">
        <v>300</v>
      </c>
      <c r="L107" s="247" t="s">
        <v>301</v>
      </c>
      <c r="M107" s="348" t="s">
        <v>302</v>
      </c>
      <c r="N107" s="247" t="s">
        <v>302</v>
      </c>
      <c r="O107" s="102">
        <v>120</v>
      </c>
      <c r="P107" s="102">
        <v>25</v>
      </c>
      <c r="Q107" s="102">
        <v>40</v>
      </c>
      <c r="R107" s="102">
        <v>30</v>
      </c>
      <c r="S107" s="102">
        <v>0</v>
      </c>
      <c r="T107" s="102">
        <v>59</v>
      </c>
      <c r="U107" s="102">
        <v>10</v>
      </c>
      <c r="V107" s="102">
        <v>25</v>
      </c>
      <c r="W107" s="102"/>
      <c r="X107" s="102">
        <v>30</v>
      </c>
      <c r="Y107" s="102">
        <v>134</v>
      </c>
      <c r="Z107" s="102">
        <v>6</v>
      </c>
      <c r="AA107" s="102">
        <v>8</v>
      </c>
      <c r="AB107" s="102">
        <f>+AA107+Z107</f>
        <v>14</v>
      </c>
      <c r="AC107" s="349">
        <f>+AB107/X107</f>
        <v>0.46666666666666667</v>
      </c>
      <c r="AD107" s="102">
        <f>+AB107+Y107</f>
        <v>148</v>
      </c>
      <c r="AE107" s="349">
        <v>1</v>
      </c>
      <c r="AF107" s="598"/>
      <c r="AG107" s="599"/>
      <c r="AH107" s="598"/>
      <c r="AI107" s="103" t="s">
        <v>307</v>
      </c>
      <c r="AJ107" s="104">
        <v>30</v>
      </c>
      <c r="AK107" s="104" t="s">
        <v>503</v>
      </c>
      <c r="AL107" s="104">
        <v>365</v>
      </c>
      <c r="AM107" s="104">
        <v>30</v>
      </c>
      <c r="AN107" s="103"/>
      <c r="AO107" s="103"/>
      <c r="AP107" s="104">
        <v>6</v>
      </c>
      <c r="AQ107" s="188">
        <f>+AP107/AM107</f>
        <v>0.2</v>
      </c>
      <c r="AR107" s="104">
        <v>8</v>
      </c>
      <c r="AS107" s="229">
        <v>0.47</v>
      </c>
      <c r="AT107" s="105" t="s">
        <v>172</v>
      </c>
      <c r="AU107" s="105" t="s">
        <v>299</v>
      </c>
      <c r="AV107" s="105"/>
      <c r="AW107" s="106"/>
      <c r="AX107" s="107"/>
      <c r="AY107" s="107"/>
      <c r="AZ107" s="105"/>
      <c r="BA107" s="105" t="s">
        <v>515</v>
      </c>
      <c r="BB107" s="126" t="s">
        <v>608</v>
      </c>
      <c r="BC107" s="105"/>
      <c r="BD107" s="675"/>
      <c r="BE107" s="675"/>
      <c r="BF107" s="678"/>
      <c r="BG107" s="105" t="s">
        <v>777</v>
      </c>
    </row>
    <row r="108" spans="1:59" s="14" customFormat="1" ht="75" customHeight="1" x14ac:dyDescent="0.35">
      <c r="A108" s="536"/>
      <c r="B108" s="461"/>
      <c r="C108" s="26"/>
      <c r="D108" s="26"/>
      <c r="E108" s="26"/>
      <c r="F108" s="389"/>
      <c r="G108" s="389"/>
      <c r="H108" s="389"/>
      <c r="I108" s="389"/>
      <c r="J108" s="463"/>
      <c r="K108" s="247" t="s">
        <v>305</v>
      </c>
      <c r="L108" s="247">
        <v>0</v>
      </c>
      <c r="M108" s="348" t="s">
        <v>306</v>
      </c>
      <c r="N108" s="247" t="s">
        <v>306</v>
      </c>
      <c r="O108" s="102">
        <v>105</v>
      </c>
      <c r="P108" s="102">
        <v>5</v>
      </c>
      <c r="Q108" s="102">
        <v>78</v>
      </c>
      <c r="R108" s="102">
        <v>30</v>
      </c>
      <c r="S108" s="102">
        <v>19</v>
      </c>
      <c r="T108" s="102">
        <v>2</v>
      </c>
      <c r="U108" s="102">
        <v>10</v>
      </c>
      <c r="V108" s="102">
        <v>6</v>
      </c>
      <c r="W108" s="102"/>
      <c r="X108" s="102">
        <v>30</v>
      </c>
      <c r="Y108" s="102">
        <v>109</v>
      </c>
      <c r="Z108" s="102">
        <v>0</v>
      </c>
      <c r="AA108" s="102">
        <v>0</v>
      </c>
      <c r="AB108" s="102">
        <v>0</v>
      </c>
      <c r="AC108" s="350">
        <v>0</v>
      </c>
      <c r="AD108" s="102">
        <f>+Y108</f>
        <v>109</v>
      </c>
      <c r="AE108" s="350">
        <v>1</v>
      </c>
      <c r="AF108" s="598"/>
      <c r="AG108" s="599"/>
      <c r="AH108" s="598"/>
      <c r="AI108" s="103" t="s">
        <v>303</v>
      </c>
      <c r="AJ108" s="104">
        <v>8.23</v>
      </c>
      <c r="AK108" s="104" t="s">
        <v>503</v>
      </c>
      <c r="AL108" s="104">
        <v>365</v>
      </c>
      <c r="AM108" s="104">
        <v>8.23</v>
      </c>
      <c r="AN108" s="103"/>
      <c r="AO108" s="103"/>
      <c r="AP108" s="104">
        <v>0.52</v>
      </c>
      <c r="AQ108" s="188">
        <v>0.25</v>
      </c>
      <c r="AR108" s="219">
        <v>2.8000000000000001E-2</v>
      </c>
      <c r="AS108" s="188">
        <v>0.5</v>
      </c>
      <c r="AT108" s="105" t="s">
        <v>172</v>
      </c>
      <c r="AU108" s="105" t="s">
        <v>308</v>
      </c>
      <c r="AV108" s="105"/>
      <c r="AW108" s="106"/>
      <c r="AX108" s="107"/>
      <c r="AY108" s="107"/>
      <c r="AZ108" s="105"/>
      <c r="BA108" s="105" t="s">
        <v>515</v>
      </c>
      <c r="BB108" s="126" t="s">
        <v>608</v>
      </c>
      <c r="BC108" s="105"/>
      <c r="BD108" s="675"/>
      <c r="BE108" s="675"/>
      <c r="BF108" s="678"/>
      <c r="BG108" s="105" t="s">
        <v>778</v>
      </c>
    </row>
    <row r="109" spans="1:59" s="14" customFormat="1" ht="43.5" x14ac:dyDescent="0.35">
      <c r="A109" s="536"/>
      <c r="B109" s="461"/>
      <c r="C109" s="26"/>
      <c r="D109" s="26"/>
      <c r="E109" s="26"/>
      <c r="F109" s="389"/>
      <c r="G109" s="389"/>
      <c r="H109" s="389"/>
      <c r="I109" s="389"/>
      <c r="J109" s="463"/>
      <c r="K109" s="465" t="s">
        <v>309</v>
      </c>
      <c r="L109" s="465" t="s">
        <v>310</v>
      </c>
      <c r="M109" s="686" t="s">
        <v>311</v>
      </c>
      <c r="N109" s="465" t="s">
        <v>311</v>
      </c>
      <c r="O109" s="465">
        <v>5.4</v>
      </c>
      <c r="P109" s="465">
        <v>0</v>
      </c>
      <c r="Q109" s="247">
        <v>5.4</v>
      </c>
      <c r="R109" s="465">
        <v>7.4</v>
      </c>
      <c r="S109" s="247"/>
      <c r="T109" s="465" t="s">
        <v>312</v>
      </c>
      <c r="U109" s="465" t="s">
        <v>313</v>
      </c>
      <c r="V109" s="465" t="s">
        <v>304</v>
      </c>
      <c r="W109" s="247"/>
      <c r="X109" s="465">
        <v>8.4</v>
      </c>
      <c r="Y109" s="465">
        <v>0</v>
      </c>
      <c r="Z109" s="478" t="s">
        <v>804</v>
      </c>
      <c r="AA109" s="478">
        <v>2.5999999999999999E-2</v>
      </c>
      <c r="AB109" s="478">
        <f>+AA109</f>
        <v>2.5999999999999999E-2</v>
      </c>
      <c r="AC109" s="479">
        <v>0.5</v>
      </c>
      <c r="AD109" s="478">
        <f>+AB109</f>
        <v>2.5999999999999999E-2</v>
      </c>
      <c r="AE109" s="480">
        <v>0.65300000000000002</v>
      </c>
      <c r="AF109" s="598"/>
      <c r="AG109" s="599"/>
      <c r="AH109" s="598"/>
      <c r="AI109" s="103" t="s">
        <v>654</v>
      </c>
      <c r="AJ109" s="104">
        <v>5.4</v>
      </c>
      <c r="AK109" s="104" t="s">
        <v>503</v>
      </c>
      <c r="AL109" s="104">
        <v>365</v>
      </c>
      <c r="AM109" s="104">
        <v>5.4</v>
      </c>
      <c r="AN109" s="103"/>
      <c r="AO109" s="103"/>
      <c r="AP109" s="104">
        <v>2.5999999999999999E-2</v>
      </c>
      <c r="AQ109" s="188">
        <v>0.25</v>
      </c>
      <c r="AR109" s="104">
        <v>9.6000000000000002E-2</v>
      </c>
      <c r="AS109" s="188">
        <v>0.5</v>
      </c>
      <c r="AT109" s="105" t="s">
        <v>172</v>
      </c>
      <c r="AU109" s="105" t="s">
        <v>299</v>
      </c>
      <c r="AV109" s="105"/>
      <c r="AW109" s="106"/>
      <c r="AX109" s="107"/>
      <c r="AY109" s="107"/>
      <c r="AZ109" s="105"/>
      <c r="BA109" s="105" t="s">
        <v>515</v>
      </c>
      <c r="BB109" s="126" t="s">
        <v>608</v>
      </c>
      <c r="BC109" s="105"/>
      <c r="BD109" s="675"/>
      <c r="BE109" s="675"/>
      <c r="BF109" s="678"/>
      <c r="BG109" s="103" t="s">
        <v>779</v>
      </c>
    </row>
    <row r="110" spans="1:59" s="14" customFormat="1" ht="58" x14ac:dyDescent="0.35">
      <c r="A110" s="536"/>
      <c r="B110" s="461"/>
      <c r="C110" s="26"/>
      <c r="D110" s="26"/>
      <c r="E110" s="26"/>
      <c r="F110" s="389"/>
      <c r="G110" s="389"/>
      <c r="H110" s="389"/>
      <c r="I110" s="389"/>
      <c r="J110" s="463"/>
      <c r="K110" s="465"/>
      <c r="L110" s="465"/>
      <c r="M110" s="686"/>
      <c r="N110" s="465"/>
      <c r="O110" s="465"/>
      <c r="P110" s="465"/>
      <c r="Q110" s="247"/>
      <c r="R110" s="465"/>
      <c r="S110" s="247" t="s">
        <v>304</v>
      </c>
      <c r="T110" s="465"/>
      <c r="U110" s="465"/>
      <c r="V110" s="465"/>
      <c r="W110" s="247"/>
      <c r="X110" s="465"/>
      <c r="Y110" s="465"/>
      <c r="Z110" s="478"/>
      <c r="AA110" s="478"/>
      <c r="AB110" s="478"/>
      <c r="AC110" s="478"/>
      <c r="AD110" s="478"/>
      <c r="AE110" s="478"/>
      <c r="AF110" s="598"/>
      <c r="AG110" s="599"/>
      <c r="AH110" s="598"/>
      <c r="AI110" s="103" t="s">
        <v>655</v>
      </c>
      <c r="AJ110" s="104">
        <v>30</v>
      </c>
      <c r="AK110" s="104" t="s">
        <v>503</v>
      </c>
      <c r="AL110" s="104">
        <v>365</v>
      </c>
      <c r="AM110" s="104">
        <v>30</v>
      </c>
      <c r="AN110" s="103"/>
      <c r="AO110" s="103"/>
      <c r="AP110" s="104">
        <v>0</v>
      </c>
      <c r="AQ110" s="188">
        <v>0</v>
      </c>
      <c r="AR110" s="104">
        <v>0</v>
      </c>
      <c r="AS110" s="188">
        <v>0</v>
      </c>
      <c r="AT110" s="105" t="s">
        <v>172</v>
      </c>
      <c r="AU110" s="105" t="s">
        <v>299</v>
      </c>
      <c r="AV110" s="105"/>
      <c r="AW110" s="106"/>
      <c r="AX110" s="107"/>
      <c r="AY110" s="107"/>
      <c r="AZ110" s="105"/>
      <c r="BA110" s="105" t="s">
        <v>515</v>
      </c>
      <c r="BB110" s="126" t="s">
        <v>639</v>
      </c>
      <c r="BC110" s="105"/>
      <c r="BD110" s="675"/>
      <c r="BE110" s="675"/>
      <c r="BF110" s="678"/>
      <c r="BG110" s="105" t="s">
        <v>780</v>
      </c>
    </row>
    <row r="111" spans="1:59" s="14" customFormat="1" ht="70.5" customHeight="1" x14ac:dyDescent="0.35">
      <c r="A111" s="536"/>
      <c r="B111" s="461"/>
      <c r="C111" s="26"/>
      <c r="D111" s="26"/>
      <c r="E111" s="26"/>
      <c r="F111" s="389"/>
      <c r="G111" s="389"/>
      <c r="H111" s="389"/>
      <c r="I111" s="389"/>
      <c r="J111" s="463"/>
      <c r="K111" s="243"/>
      <c r="L111" s="243"/>
      <c r="M111" s="348"/>
      <c r="N111" s="243"/>
      <c r="O111" s="243"/>
      <c r="P111" s="243"/>
      <c r="Q111" s="247"/>
      <c r="R111" s="243"/>
      <c r="S111" s="247"/>
      <c r="T111" s="243"/>
      <c r="U111" s="243"/>
      <c r="V111" s="243"/>
      <c r="W111" s="247"/>
      <c r="X111" s="243"/>
      <c r="Y111" s="243"/>
      <c r="Z111" s="247"/>
      <c r="AA111" s="247"/>
      <c r="AB111" s="247"/>
      <c r="AC111" s="247"/>
      <c r="AD111" s="247"/>
      <c r="AE111" s="247"/>
      <c r="AF111" s="626" t="s">
        <v>297</v>
      </c>
      <c r="AG111" s="627"/>
      <c r="AH111" s="627"/>
      <c r="AI111" s="627"/>
      <c r="AJ111" s="627"/>
      <c r="AK111" s="627"/>
      <c r="AL111" s="627"/>
      <c r="AM111" s="627"/>
      <c r="AN111" s="627"/>
      <c r="AO111" s="627"/>
      <c r="AP111" s="627"/>
      <c r="AQ111" s="627"/>
      <c r="AR111" s="628"/>
      <c r="AS111" s="344">
        <f>AVERAGE(AS106:AS110)</f>
        <v>0.39400000000000002</v>
      </c>
      <c r="AT111" s="105"/>
      <c r="AU111" s="105"/>
      <c r="AV111" s="105"/>
      <c r="AW111" s="106"/>
      <c r="AX111" s="107"/>
      <c r="AY111" s="107"/>
      <c r="AZ111" s="105"/>
      <c r="BA111" s="105"/>
      <c r="BB111" s="126"/>
      <c r="BC111" s="105"/>
      <c r="BD111" s="675"/>
      <c r="BE111" s="675"/>
      <c r="BF111" s="678"/>
      <c r="BG111" s="105"/>
    </row>
    <row r="112" spans="1:59" s="14" customFormat="1" ht="39" customHeight="1" x14ac:dyDescent="0.35">
      <c r="A112" s="536"/>
      <c r="B112" s="461"/>
      <c r="C112" s="26"/>
      <c r="D112" s="26"/>
      <c r="E112" s="26"/>
      <c r="F112" s="26"/>
      <c r="G112" s="26"/>
      <c r="H112" s="26"/>
      <c r="I112" s="26"/>
      <c r="J112" s="463"/>
      <c r="K112" s="481" t="s">
        <v>314</v>
      </c>
      <c r="L112" s="481" t="s">
        <v>315</v>
      </c>
      <c r="M112" s="482" t="s">
        <v>316</v>
      </c>
      <c r="N112" s="481" t="s">
        <v>316</v>
      </c>
      <c r="O112" s="481">
        <f>3000*3</f>
        <v>9000</v>
      </c>
      <c r="P112" s="481">
        <v>2600</v>
      </c>
      <c r="Q112" s="481">
        <v>1236</v>
      </c>
      <c r="R112" s="481">
        <v>3000</v>
      </c>
      <c r="S112" s="481">
        <v>528</v>
      </c>
      <c r="T112" s="481">
        <v>340</v>
      </c>
      <c r="U112" s="481">
        <v>485</v>
      </c>
      <c r="V112" s="481">
        <v>769</v>
      </c>
      <c r="W112" s="481"/>
      <c r="X112" s="481">
        <v>3000</v>
      </c>
      <c r="Y112" s="481">
        <v>4236</v>
      </c>
      <c r="Z112" s="481">
        <v>525</v>
      </c>
      <c r="AA112" s="481">
        <v>583</v>
      </c>
      <c r="AB112" s="481">
        <f>+AA112+Z112</f>
        <v>1108</v>
      </c>
      <c r="AC112" s="533">
        <f>+AB112/X112</f>
        <v>0.36933333333333335</v>
      </c>
      <c r="AD112" s="481">
        <f>+AB112+Y112</f>
        <v>5344</v>
      </c>
      <c r="AE112" s="534">
        <f>+AD112/O112</f>
        <v>0.59377777777777774</v>
      </c>
      <c r="AF112" s="629" t="s">
        <v>317</v>
      </c>
      <c r="AG112" s="632">
        <v>2020130010158</v>
      </c>
      <c r="AH112" s="629" t="s">
        <v>318</v>
      </c>
      <c r="AI112" s="111" t="s">
        <v>656</v>
      </c>
      <c r="AJ112" s="244">
        <v>2600</v>
      </c>
      <c r="AK112" s="244" t="s">
        <v>503</v>
      </c>
      <c r="AL112" s="244">
        <v>365</v>
      </c>
      <c r="AM112" s="244">
        <v>2600</v>
      </c>
      <c r="AN112" s="481"/>
      <c r="AO112" s="481"/>
      <c r="AP112" s="244">
        <v>525</v>
      </c>
      <c r="AQ112" s="189">
        <f t="shared" ref="AQ112:AQ117" si="7">+AP112/AM112</f>
        <v>0.20192307692307693</v>
      </c>
      <c r="AR112" s="220">
        <v>583</v>
      </c>
      <c r="AS112" s="189">
        <f>+(AP112+AR112)/AJ112</f>
        <v>0.42615384615384616</v>
      </c>
      <c r="AT112" s="108" t="s">
        <v>172</v>
      </c>
      <c r="AU112" s="108" t="s">
        <v>126</v>
      </c>
      <c r="AV112" s="244" t="s">
        <v>613</v>
      </c>
      <c r="AW112" s="109">
        <v>355680000</v>
      </c>
      <c r="AX112" s="110" t="s">
        <v>532</v>
      </c>
      <c r="AY112" s="110" t="s">
        <v>534</v>
      </c>
      <c r="AZ112" s="108" t="s">
        <v>533</v>
      </c>
      <c r="BA112" s="244" t="s">
        <v>515</v>
      </c>
      <c r="BB112" s="127" t="s">
        <v>608</v>
      </c>
      <c r="BC112" s="108"/>
      <c r="BD112" s="675"/>
      <c r="BE112" s="675"/>
      <c r="BF112" s="678"/>
      <c r="BG112" s="108" t="s">
        <v>781</v>
      </c>
    </row>
    <row r="113" spans="1:59" s="14" customFormat="1" ht="45.65" customHeight="1" x14ac:dyDescent="0.35">
      <c r="A113" s="536"/>
      <c r="B113" s="461"/>
      <c r="C113" s="26"/>
      <c r="D113" s="26"/>
      <c r="E113" s="26"/>
      <c r="F113" s="26"/>
      <c r="G113" s="26"/>
      <c r="H113" s="26"/>
      <c r="I113" s="26"/>
      <c r="J113" s="463"/>
      <c r="K113" s="481"/>
      <c r="L113" s="481"/>
      <c r="M113" s="482"/>
      <c r="N113" s="481"/>
      <c r="O113" s="481"/>
      <c r="P113" s="481"/>
      <c r="Q113" s="481"/>
      <c r="R113" s="481"/>
      <c r="S113" s="481"/>
      <c r="T113" s="481"/>
      <c r="U113" s="481"/>
      <c r="V113" s="481"/>
      <c r="W113" s="481"/>
      <c r="X113" s="481"/>
      <c r="Y113" s="481"/>
      <c r="Z113" s="481"/>
      <c r="AA113" s="481"/>
      <c r="AB113" s="481"/>
      <c r="AC113" s="533"/>
      <c r="AD113" s="481"/>
      <c r="AE113" s="534"/>
      <c r="AF113" s="630"/>
      <c r="AG113" s="633"/>
      <c r="AH113" s="630"/>
      <c r="AI113" s="111" t="s">
        <v>657</v>
      </c>
      <c r="AJ113" s="244">
        <v>100</v>
      </c>
      <c r="AK113" s="244" t="s">
        <v>503</v>
      </c>
      <c r="AL113" s="244">
        <v>365</v>
      </c>
      <c r="AM113" s="244">
        <v>100</v>
      </c>
      <c r="AN113" s="481"/>
      <c r="AO113" s="481"/>
      <c r="AP113" s="244">
        <v>0</v>
      </c>
      <c r="AQ113" s="244">
        <f t="shared" si="7"/>
        <v>0</v>
      </c>
      <c r="AR113" s="244">
        <v>0</v>
      </c>
      <c r="AS113" s="189">
        <f t="shared" ref="AS113:AS118" si="8">+(AP113+AR113)/AJ113</f>
        <v>0</v>
      </c>
      <c r="AT113" s="108" t="s">
        <v>172</v>
      </c>
      <c r="AU113" s="108" t="s">
        <v>126</v>
      </c>
      <c r="AV113" s="244"/>
      <c r="AW113" s="109"/>
      <c r="AX113" s="110"/>
      <c r="AY113" s="110"/>
      <c r="AZ113" s="108"/>
      <c r="BA113" s="244" t="s">
        <v>515</v>
      </c>
      <c r="BB113" s="127" t="s">
        <v>608</v>
      </c>
      <c r="BC113" s="108"/>
      <c r="BD113" s="675"/>
      <c r="BE113" s="675"/>
      <c r="BF113" s="678"/>
      <c r="BG113" s="108"/>
    </row>
    <row r="114" spans="1:59" s="14" customFormat="1" ht="31.75" customHeight="1" x14ac:dyDescent="0.35">
      <c r="A114" s="536"/>
      <c r="B114" s="461"/>
      <c r="C114" s="26"/>
      <c r="D114" s="26"/>
      <c r="E114" s="26"/>
      <c r="F114" s="26"/>
      <c r="G114" s="26"/>
      <c r="H114" s="26"/>
      <c r="I114" s="26"/>
      <c r="J114" s="463"/>
      <c r="K114" s="481"/>
      <c r="L114" s="481"/>
      <c r="M114" s="482"/>
      <c r="N114" s="481"/>
      <c r="O114" s="481"/>
      <c r="P114" s="481"/>
      <c r="Q114" s="481"/>
      <c r="R114" s="481"/>
      <c r="S114" s="481"/>
      <c r="T114" s="481"/>
      <c r="U114" s="481"/>
      <c r="V114" s="481"/>
      <c r="W114" s="481"/>
      <c r="X114" s="481"/>
      <c r="Y114" s="481"/>
      <c r="Z114" s="481"/>
      <c r="AA114" s="481"/>
      <c r="AB114" s="481"/>
      <c r="AC114" s="533"/>
      <c r="AD114" s="481"/>
      <c r="AE114" s="534"/>
      <c r="AF114" s="630"/>
      <c r="AG114" s="633"/>
      <c r="AH114" s="630"/>
      <c r="AI114" s="111" t="s">
        <v>319</v>
      </c>
      <c r="AJ114" s="244">
        <v>350</v>
      </c>
      <c r="AK114" s="244" t="s">
        <v>503</v>
      </c>
      <c r="AL114" s="244">
        <v>365</v>
      </c>
      <c r="AM114" s="244">
        <v>350</v>
      </c>
      <c r="AN114" s="481"/>
      <c r="AO114" s="481"/>
      <c r="AP114" s="244">
        <v>88</v>
      </c>
      <c r="AQ114" s="189">
        <f t="shared" si="7"/>
        <v>0.25142857142857145</v>
      </c>
      <c r="AR114" s="220">
        <v>87</v>
      </c>
      <c r="AS114" s="189">
        <f t="shared" si="8"/>
        <v>0.5</v>
      </c>
      <c r="AT114" s="108" t="s">
        <v>172</v>
      </c>
      <c r="AU114" s="108" t="s">
        <v>126</v>
      </c>
      <c r="AV114" s="244"/>
      <c r="AW114" s="109"/>
      <c r="AX114" s="110"/>
      <c r="AY114" s="110"/>
      <c r="AZ114" s="108"/>
      <c r="BA114" s="244" t="s">
        <v>515</v>
      </c>
      <c r="BB114" s="127" t="s">
        <v>608</v>
      </c>
      <c r="BC114" s="108"/>
      <c r="BD114" s="675"/>
      <c r="BE114" s="675"/>
      <c r="BF114" s="678"/>
      <c r="BG114" s="108"/>
    </row>
    <row r="115" spans="1:59" s="14" customFormat="1" ht="60" customHeight="1" x14ac:dyDescent="0.35">
      <c r="A115" s="536"/>
      <c r="B115" s="461"/>
      <c r="C115" s="26"/>
      <c r="D115" s="26"/>
      <c r="E115" s="26"/>
      <c r="F115" s="26"/>
      <c r="G115" s="26"/>
      <c r="H115" s="26"/>
      <c r="I115" s="26"/>
      <c r="J115" s="463"/>
      <c r="K115" s="481"/>
      <c r="L115" s="481"/>
      <c r="M115" s="482"/>
      <c r="N115" s="481"/>
      <c r="O115" s="481"/>
      <c r="P115" s="481"/>
      <c r="Q115" s="481"/>
      <c r="R115" s="481"/>
      <c r="S115" s="481"/>
      <c r="T115" s="481"/>
      <c r="U115" s="481"/>
      <c r="V115" s="481"/>
      <c r="W115" s="481"/>
      <c r="X115" s="481"/>
      <c r="Y115" s="481"/>
      <c r="Z115" s="481"/>
      <c r="AA115" s="481"/>
      <c r="AB115" s="481"/>
      <c r="AC115" s="533"/>
      <c r="AD115" s="481"/>
      <c r="AE115" s="534"/>
      <c r="AF115" s="630"/>
      <c r="AG115" s="633"/>
      <c r="AH115" s="630"/>
      <c r="AI115" s="111" t="s">
        <v>658</v>
      </c>
      <c r="AJ115" s="244">
        <v>50</v>
      </c>
      <c r="AK115" s="244" t="s">
        <v>503</v>
      </c>
      <c r="AL115" s="244">
        <v>365</v>
      </c>
      <c r="AM115" s="244">
        <v>50</v>
      </c>
      <c r="AN115" s="481"/>
      <c r="AO115" s="481"/>
      <c r="AP115" s="244">
        <v>12</v>
      </c>
      <c r="AQ115" s="189">
        <f t="shared" si="7"/>
        <v>0.24</v>
      </c>
      <c r="AR115" s="220">
        <v>13</v>
      </c>
      <c r="AS115" s="189">
        <f>+(AP115+AR115)/AJ115</f>
        <v>0.5</v>
      </c>
      <c r="AT115" s="108" t="s">
        <v>172</v>
      </c>
      <c r="AU115" s="108" t="s">
        <v>126</v>
      </c>
      <c r="AV115" s="244"/>
      <c r="AW115" s="109"/>
      <c r="AX115" s="110"/>
      <c r="AY115" s="110"/>
      <c r="AZ115" s="108"/>
      <c r="BA115" s="244" t="s">
        <v>515</v>
      </c>
      <c r="BB115" s="127" t="s">
        <v>608</v>
      </c>
      <c r="BC115" s="108"/>
      <c r="BD115" s="675"/>
      <c r="BE115" s="675"/>
      <c r="BF115" s="678"/>
      <c r="BG115" s="108"/>
    </row>
    <row r="116" spans="1:59" s="14" customFormat="1" ht="39.65" customHeight="1" x14ac:dyDescent="0.35">
      <c r="A116" s="536"/>
      <c r="B116" s="461"/>
      <c r="C116" s="26"/>
      <c r="D116" s="26"/>
      <c r="E116" s="26"/>
      <c r="F116" s="26"/>
      <c r="G116" s="26"/>
      <c r="H116" s="26"/>
      <c r="I116" s="26"/>
      <c r="J116" s="463"/>
      <c r="K116" s="481"/>
      <c r="L116" s="481"/>
      <c r="M116" s="482"/>
      <c r="N116" s="481"/>
      <c r="O116" s="481"/>
      <c r="P116" s="481"/>
      <c r="Q116" s="481"/>
      <c r="R116" s="481"/>
      <c r="S116" s="481"/>
      <c r="T116" s="481"/>
      <c r="U116" s="481"/>
      <c r="V116" s="481"/>
      <c r="W116" s="481"/>
      <c r="X116" s="481"/>
      <c r="Y116" s="481"/>
      <c r="Z116" s="481"/>
      <c r="AA116" s="481"/>
      <c r="AB116" s="481"/>
      <c r="AC116" s="533"/>
      <c r="AD116" s="481"/>
      <c r="AE116" s="534"/>
      <c r="AF116" s="630"/>
      <c r="AG116" s="633"/>
      <c r="AH116" s="630"/>
      <c r="AI116" s="111" t="s">
        <v>659</v>
      </c>
      <c r="AJ116" s="244">
        <v>1000</v>
      </c>
      <c r="AK116" s="244" t="s">
        <v>503</v>
      </c>
      <c r="AL116" s="244">
        <v>365</v>
      </c>
      <c r="AM116" s="244">
        <v>1000</v>
      </c>
      <c r="AN116" s="481"/>
      <c r="AO116" s="481"/>
      <c r="AP116" s="244">
        <v>196</v>
      </c>
      <c r="AQ116" s="189">
        <f t="shared" si="7"/>
        <v>0.19600000000000001</v>
      </c>
      <c r="AR116" s="220">
        <v>70</v>
      </c>
      <c r="AS116" s="189">
        <f t="shared" si="8"/>
        <v>0.26600000000000001</v>
      </c>
      <c r="AT116" s="108" t="s">
        <v>172</v>
      </c>
      <c r="AU116" s="108" t="s">
        <v>126</v>
      </c>
      <c r="AV116" s="244"/>
      <c r="AW116" s="109"/>
      <c r="AX116" s="110"/>
      <c r="AY116" s="110"/>
      <c r="AZ116" s="108"/>
      <c r="BA116" s="244" t="s">
        <v>515</v>
      </c>
      <c r="BB116" s="127" t="s">
        <v>608</v>
      </c>
      <c r="BC116" s="108"/>
      <c r="BD116" s="675"/>
      <c r="BE116" s="675"/>
      <c r="BF116" s="678"/>
      <c r="BG116" s="108"/>
    </row>
    <row r="117" spans="1:59" s="14" customFormat="1" ht="58.4" customHeight="1" x14ac:dyDescent="0.35">
      <c r="A117" s="536"/>
      <c r="B117" s="461"/>
      <c r="C117" s="26"/>
      <c r="D117" s="26"/>
      <c r="E117" s="26"/>
      <c r="F117" s="26"/>
      <c r="G117" s="26"/>
      <c r="H117" s="26"/>
      <c r="I117" s="26"/>
      <c r="J117" s="463"/>
      <c r="K117" s="481"/>
      <c r="L117" s="481"/>
      <c r="M117" s="482"/>
      <c r="N117" s="481"/>
      <c r="O117" s="481"/>
      <c r="P117" s="481"/>
      <c r="Q117" s="481"/>
      <c r="R117" s="481"/>
      <c r="S117" s="481"/>
      <c r="T117" s="481"/>
      <c r="U117" s="481"/>
      <c r="V117" s="481"/>
      <c r="W117" s="481"/>
      <c r="X117" s="481"/>
      <c r="Y117" s="481"/>
      <c r="Z117" s="481"/>
      <c r="AA117" s="481"/>
      <c r="AB117" s="481"/>
      <c r="AC117" s="533"/>
      <c r="AD117" s="481"/>
      <c r="AE117" s="534"/>
      <c r="AF117" s="630"/>
      <c r="AG117" s="633"/>
      <c r="AH117" s="630"/>
      <c r="AI117" s="111" t="s">
        <v>660</v>
      </c>
      <c r="AJ117" s="244">
        <v>1000</v>
      </c>
      <c r="AK117" s="244" t="s">
        <v>503</v>
      </c>
      <c r="AL117" s="244">
        <v>365</v>
      </c>
      <c r="AM117" s="244">
        <v>1000</v>
      </c>
      <c r="AN117" s="481"/>
      <c r="AO117" s="481"/>
      <c r="AP117" s="244">
        <v>250</v>
      </c>
      <c r="AQ117" s="189">
        <f t="shared" si="7"/>
        <v>0.25</v>
      </c>
      <c r="AR117" s="220">
        <v>250</v>
      </c>
      <c r="AS117" s="189">
        <f>+(AP117+AR117)/AJ117</f>
        <v>0.5</v>
      </c>
      <c r="AT117" s="108" t="s">
        <v>172</v>
      </c>
      <c r="AU117" s="108" t="s">
        <v>126</v>
      </c>
      <c r="AV117" s="244"/>
      <c r="AW117" s="109"/>
      <c r="AX117" s="110"/>
      <c r="AY117" s="110"/>
      <c r="AZ117" s="108"/>
      <c r="BA117" s="244" t="s">
        <v>515</v>
      </c>
      <c r="BB117" s="127" t="s">
        <v>608</v>
      </c>
      <c r="BC117" s="108"/>
      <c r="BD117" s="675"/>
      <c r="BE117" s="675"/>
      <c r="BF117" s="678"/>
      <c r="BG117" s="108"/>
    </row>
    <row r="118" spans="1:59" s="14" customFormat="1" ht="52.75" customHeight="1" x14ac:dyDescent="0.35">
      <c r="A118" s="536"/>
      <c r="B118" s="461"/>
      <c r="C118" s="26"/>
      <c r="D118" s="26"/>
      <c r="E118" s="26"/>
      <c r="F118" s="26"/>
      <c r="G118" s="26"/>
      <c r="H118" s="26"/>
      <c r="I118" s="26"/>
      <c r="J118" s="463"/>
      <c r="K118" s="481"/>
      <c r="L118" s="481"/>
      <c r="M118" s="482"/>
      <c r="N118" s="244"/>
      <c r="O118" s="481"/>
      <c r="P118" s="244"/>
      <c r="Q118" s="244"/>
      <c r="R118" s="244"/>
      <c r="S118" s="244"/>
      <c r="T118" s="244"/>
      <c r="U118" s="244"/>
      <c r="V118" s="244"/>
      <c r="W118" s="244"/>
      <c r="X118" s="481"/>
      <c r="Y118" s="481"/>
      <c r="Z118" s="481"/>
      <c r="AA118" s="481"/>
      <c r="AB118" s="481"/>
      <c r="AC118" s="533"/>
      <c r="AD118" s="481"/>
      <c r="AE118" s="534"/>
      <c r="AF118" s="630"/>
      <c r="AG118" s="633"/>
      <c r="AH118" s="630"/>
      <c r="AI118" s="111" t="s">
        <v>661</v>
      </c>
      <c r="AJ118" s="244">
        <v>20</v>
      </c>
      <c r="AK118" s="244" t="s">
        <v>503</v>
      </c>
      <c r="AL118" s="244">
        <v>365</v>
      </c>
      <c r="AM118" s="244">
        <v>20</v>
      </c>
      <c r="AN118" s="244"/>
      <c r="AO118" s="244"/>
      <c r="AP118" s="244">
        <v>6</v>
      </c>
      <c r="AQ118" s="189">
        <f>+AP118/20</f>
        <v>0.3</v>
      </c>
      <c r="AR118" s="220">
        <v>1</v>
      </c>
      <c r="AS118" s="189">
        <f t="shared" si="8"/>
        <v>0.35</v>
      </c>
      <c r="AT118" s="108" t="s">
        <v>172</v>
      </c>
      <c r="AU118" s="108" t="s">
        <v>126</v>
      </c>
      <c r="AV118" s="244"/>
      <c r="AW118" s="112"/>
      <c r="AX118" s="113"/>
      <c r="AY118" s="113"/>
      <c r="AZ118" s="244"/>
      <c r="BA118" s="244" t="s">
        <v>515</v>
      </c>
      <c r="BB118" s="127" t="s">
        <v>608</v>
      </c>
      <c r="BC118" s="244"/>
      <c r="BD118" s="675"/>
      <c r="BE118" s="675"/>
      <c r="BF118" s="678"/>
      <c r="BG118" s="108"/>
    </row>
    <row r="119" spans="1:59" s="14" customFormat="1" ht="53.5" customHeight="1" x14ac:dyDescent="0.35">
      <c r="A119" s="536"/>
      <c r="B119" s="461"/>
      <c r="C119" s="26"/>
      <c r="D119" s="26"/>
      <c r="E119" s="26"/>
      <c r="F119" s="26"/>
      <c r="G119" s="26"/>
      <c r="H119" s="26"/>
      <c r="I119" s="26"/>
      <c r="J119" s="463"/>
      <c r="K119" s="481"/>
      <c r="L119" s="481"/>
      <c r="M119" s="482"/>
      <c r="N119" s="244"/>
      <c r="O119" s="481"/>
      <c r="P119" s="244"/>
      <c r="Q119" s="244"/>
      <c r="R119" s="244"/>
      <c r="S119" s="244"/>
      <c r="T119" s="244"/>
      <c r="U119" s="244"/>
      <c r="V119" s="244"/>
      <c r="W119" s="244"/>
      <c r="X119" s="481"/>
      <c r="Y119" s="481"/>
      <c r="Z119" s="481"/>
      <c r="AA119" s="481"/>
      <c r="AB119" s="481"/>
      <c r="AC119" s="533"/>
      <c r="AD119" s="481"/>
      <c r="AE119" s="534"/>
      <c r="AF119" s="630"/>
      <c r="AG119" s="634"/>
      <c r="AH119" s="631"/>
      <c r="AI119" s="111" t="s">
        <v>662</v>
      </c>
      <c r="AJ119" s="244">
        <v>1</v>
      </c>
      <c r="AK119" s="244" t="s">
        <v>503</v>
      </c>
      <c r="AL119" s="244">
        <v>365</v>
      </c>
      <c r="AM119" s="244">
        <v>1</v>
      </c>
      <c r="AN119" s="244"/>
      <c r="AO119" s="244"/>
      <c r="AP119" s="244">
        <v>0</v>
      </c>
      <c r="AQ119" s="189">
        <f>+AP119/20</f>
        <v>0</v>
      </c>
      <c r="AR119" s="220">
        <v>0</v>
      </c>
      <c r="AS119" s="189">
        <f>+(AP119+AR119)/AJ119</f>
        <v>0</v>
      </c>
      <c r="AT119" s="108" t="s">
        <v>172</v>
      </c>
      <c r="AU119" s="108" t="s">
        <v>126</v>
      </c>
      <c r="AV119" s="244"/>
      <c r="AW119" s="112"/>
      <c r="AX119" s="113"/>
      <c r="AY119" s="113"/>
      <c r="AZ119" s="244"/>
      <c r="BA119" s="244" t="s">
        <v>515</v>
      </c>
      <c r="BB119" s="127" t="s">
        <v>611</v>
      </c>
      <c r="BC119" s="244"/>
      <c r="BD119" s="675"/>
      <c r="BE119" s="675"/>
      <c r="BF119" s="678"/>
      <c r="BG119" s="108"/>
    </row>
    <row r="120" spans="1:59" s="14" customFormat="1" ht="53.5" customHeight="1" x14ac:dyDescent="0.35">
      <c r="A120" s="536"/>
      <c r="B120" s="461"/>
      <c r="C120" s="26"/>
      <c r="D120" s="26"/>
      <c r="E120" s="26"/>
      <c r="F120" s="26"/>
      <c r="G120" s="26"/>
      <c r="H120" s="26"/>
      <c r="I120" s="26"/>
      <c r="J120" s="463"/>
      <c r="K120" s="468" t="s">
        <v>293</v>
      </c>
      <c r="L120" s="468"/>
      <c r="M120" s="468"/>
      <c r="N120" s="468"/>
      <c r="O120" s="468"/>
      <c r="P120" s="468"/>
      <c r="Q120" s="468"/>
      <c r="R120" s="468"/>
      <c r="S120" s="468"/>
      <c r="T120" s="468"/>
      <c r="U120" s="468"/>
      <c r="V120" s="468"/>
      <c r="W120" s="468"/>
      <c r="X120" s="468"/>
      <c r="Y120" s="468"/>
      <c r="Z120" s="468"/>
      <c r="AA120" s="468"/>
      <c r="AB120" s="468"/>
      <c r="AC120" s="303">
        <f>AVERAGE(AC106:AC119)</f>
        <v>0.36720000000000003</v>
      </c>
      <c r="AD120" s="343"/>
      <c r="AE120" s="304">
        <f>AVERAGE(AE106:AE119)</f>
        <v>0.78060555555555555</v>
      </c>
      <c r="AF120" s="631"/>
      <c r="AG120" s="580" t="s">
        <v>317</v>
      </c>
      <c r="AH120" s="581"/>
      <c r="AI120" s="581"/>
      <c r="AJ120" s="581"/>
      <c r="AK120" s="581"/>
      <c r="AL120" s="581"/>
      <c r="AM120" s="581"/>
      <c r="AN120" s="581"/>
      <c r="AO120" s="581"/>
      <c r="AP120" s="581"/>
      <c r="AQ120" s="581"/>
      <c r="AR120" s="582"/>
      <c r="AS120" s="304">
        <f>AVERAGE(AS112:AS119)</f>
        <v>0.31776923076923075</v>
      </c>
      <c r="AT120" s="108"/>
      <c r="AU120" s="108"/>
      <c r="AV120" s="244"/>
      <c r="AW120" s="112"/>
      <c r="AX120" s="113"/>
      <c r="AY120" s="113"/>
      <c r="AZ120" s="244"/>
      <c r="BA120" s="244"/>
      <c r="BB120" s="127"/>
      <c r="BC120" s="244"/>
      <c r="BD120" s="675"/>
      <c r="BE120" s="675"/>
      <c r="BF120" s="678"/>
      <c r="BG120" s="108"/>
    </row>
    <row r="121" spans="1:59" s="14" customFormat="1" ht="74.25" customHeight="1" x14ac:dyDescent="0.35">
      <c r="A121" s="536"/>
      <c r="B121" s="461"/>
      <c r="C121" s="26"/>
      <c r="D121" s="26"/>
      <c r="E121" s="26"/>
      <c r="F121" s="389"/>
      <c r="G121" s="389"/>
      <c r="H121" s="389"/>
      <c r="I121" s="389"/>
      <c r="J121" s="464"/>
      <c r="K121" s="524" t="s">
        <v>320</v>
      </c>
      <c r="L121" s="524" t="s">
        <v>321</v>
      </c>
      <c r="M121" s="532" t="s">
        <v>322</v>
      </c>
      <c r="N121" s="524" t="s">
        <v>322</v>
      </c>
      <c r="O121" s="524">
        <v>80</v>
      </c>
      <c r="P121" s="524">
        <v>20</v>
      </c>
      <c r="Q121" s="524">
        <v>18</v>
      </c>
      <c r="R121" s="524">
        <v>20</v>
      </c>
      <c r="S121" s="525">
        <v>0</v>
      </c>
      <c r="T121" s="524">
        <v>5</v>
      </c>
      <c r="U121" s="524">
        <v>9</v>
      </c>
      <c r="V121" s="277"/>
      <c r="W121" s="277"/>
      <c r="X121" s="504">
        <v>20</v>
      </c>
      <c r="Y121" s="504">
        <v>37</v>
      </c>
      <c r="Z121" s="504">
        <v>3</v>
      </c>
      <c r="AA121" s="504">
        <v>6</v>
      </c>
      <c r="AB121" s="504">
        <f>+AA121+Z121</f>
        <v>9</v>
      </c>
      <c r="AC121" s="521">
        <f>+AB121/X121</f>
        <v>0.45</v>
      </c>
      <c r="AD121" s="504">
        <v>46</v>
      </c>
      <c r="AE121" s="521">
        <f>+AD121/O121</f>
        <v>0.57499999999999996</v>
      </c>
      <c r="AF121" s="518" t="s">
        <v>323</v>
      </c>
      <c r="AG121" s="519">
        <v>2020130010070</v>
      </c>
      <c r="AH121" s="518" t="s">
        <v>324</v>
      </c>
      <c r="AI121" s="114" t="s">
        <v>663</v>
      </c>
      <c r="AJ121" s="277">
        <v>150</v>
      </c>
      <c r="AK121" s="277" t="s">
        <v>503</v>
      </c>
      <c r="AL121" s="277">
        <v>365</v>
      </c>
      <c r="AM121" s="277">
        <v>150</v>
      </c>
      <c r="AN121" s="114"/>
      <c r="AO121" s="114"/>
      <c r="AP121" s="277">
        <v>0</v>
      </c>
      <c r="AQ121" s="36">
        <v>0</v>
      </c>
      <c r="AR121" s="277">
        <v>0</v>
      </c>
      <c r="AS121" s="36">
        <v>0</v>
      </c>
      <c r="AT121" s="115" t="s">
        <v>172</v>
      </c>
      <c r="AU121" s="115" t="s">
        <v>325</v>
      </c>
      <c r="AV121" s="115" t="s">
        <v>613</v>
      </c>
      <c r="AW121" s="116">
        <v>260000000</v>
      </c>
      <c r="AX121" s="115" t="s">
        <v>532</v>
      </c>
      <c r="AY121" s="231" t="s">
        <v>569</v>
      </c>
      <c r="AZ121" s="115" t="s">
        <v>568</v>
      </c>
      <c r="BA121" s="115" t="s">
        <v>515</v>
      </c>
      <c r="BB121" s="128" t="s">
        <v>611</v>
      </c>
      <c r="BC121" s="115"/>
      <c r="BD121" s="676"/>
      <c r="BE121" s="676"/>
      <c r="BF121" s="679"/>
      <c r="BG121" s="115" t="s">
        <v>807</v>
      </c>
    </row>
    <row r="122" spans="1:59" s="14" customFormat="1" ht="67.5" customHeight="1" x14ac:dyDescent="0.35">
      <c r="A122" s="536"/>
      <c r="B122" s="461"/>
      <c r="C122" s="26"/>
      <c r="D122" s="26"/>
      <c r="E122" s="26"/>
      <c r="F122" s="389"/>
      <c r="G122" s="389"/>
      <c r="H122" s="389"/>
      <c r="I122" s="389"/>
      <c r="J122" s="462" t="s">
        <v>326</v>
      </c>
      <c r="K122" s="524"/>
      <c r="L122" s="524" t="s">
        <v>321</v>
      </c>
      <c r="M122" s="532" t="s">
        <v>322</v>
      </c>
      <c r="N122" s="524" t="s">
        <v>322</v>
      </c>
      <c r="O122" s="524"/>
      <c r="P122" s="524"/>
      <c r="Q122" s="524"/>
      <c r="R122" s="524"/>
      <c r="S122" s="525"/>
      <c r="T122" s="524"/>
      <c r="U122" s="524"/>
      <c r="V122" s="277"/>
      <c r="W122" s="277"/>
      <c r="X122" s="504"/>
      <c r="Y122" s="504"/>
      <c r="Z122" s="504"/>
      <c r="AA122" s="504"/>
      <c r="AB122" s="504"/>
      <c r="AC122" s="521"/>
      <c r="AD122" s="504"/>
      <c r="AE122" s="521"/>
      <c r="AF122" s="518" t="s">
        <v>323</v>
      </c>
      <c r="AG122" s="519"/>
      <c r="AH122" s="518" t="s">
        <v>324</v>
      </c>
      <c r="AI122" s="114" t="s">
        <v>327</v>
      </c>
      <c r="AJ122" s="277">
        <v>100</v>
      </c>
      <c r="AK122" s="277" t="s">
        <v>503</v>
      </c>
      <c r="AL122" s="277">
        <v>365</v>
      </c>
      <c r="AM122" s="277">
        <v>100</v>
      </c>
      <c r="AN122" s="114"/>
      <c r="AO122" s="114"/>
      <c r="AP122" s="277">
        <v>3</v>
      </c>
      <c r="AQ122" s="36">
        <v>0.18</v>
      </c>
      <c r="AR122" s="277">
        <v>6</v>
      </c>
      <c r="AS122" s="36">
        <v>0.5</v>
      </c>
      <c r="AT122" s="115" t="s">
        <v>172</v>
      </c>
      <c r="AU122" s="115" t="s">
        <v>325</v>
      </c>
      <c r="AV122" s="115"/>
      <c r="AW122" s="116"/>
      <c r="AX122" s="231"/>
      <c r="AY122" s="231"/>
      <c r="AZ122" s="115"/>
      <c r="BA122" s="115" t="s">
        <v>515</v>
      </c>
      <c r="BB122" s="128" t="s">
        <v>608</v>
      </c>
      <c r="BC122" s="115"/>
      <c r="BD122" s="674">
        <v>907258187</v>
      </c>
      <c r="BE122" s="674">
        <v>392000000</v>
      </c>
      <c r="BF122" s="677">
        <f>+BE122/BD122</f>
        <v>0.43207105277959867</v>
      </c>
      <c r="BG122" s="115" t="s">
        <v>808</v>
      </c>
    </row>
    <row r="123" spans="1:59" s="14" customFormat="1" ht="74.25" customHeight="1" x14ac:dyDescent="0.35">
      <c r="A123" s="536"/>
      <c r="B123" s="461"/>
      <c r="C123" s="26"/>
      <c r="D123" s="26"/>
      <c r="E123" s="26"/>
      <c r="F123" s="389"/>
      <c r="G123" s="389"/>
      <c r="H123" s="389"/>
      <c r="I123" s="389"/>
      <c r="J123" s="463"/>
      <c r="K123" s="524"/>
      <c r="L123" s="524" t="s">
        <v>321</v>
      </c>
      <c r="M123" s="532" t="s">
        <v>322</v>
      </c>
      <c r="N123" s="524" t="s">
        <v>322</v>
      </c>
      <c r="O123" s="524"/>
      <c r="P123" s="524"/>
      <c r="Q123" s="524"/>
      <c r="R123" s="524"/>
      <c r="S123" s="525"/>
      <c r="T123" s="524"/>
      <c r="U123" s="524"/>
      <c r="V123" s="277">
        <v>8</v>
      </c>
      <c r="W123" s="277"/>
      <c r="X123" s="504"/>
      <c r="Y123" s="504"/>
      <c r="Z123" s="504"/>
      <c r="AA123" s="504"/>
      <c r="AB123" s="504"/>
      <c r="AC123" s="521"/>
      <c r="AD123" s="504"/>
      <c r="AE123" s="521"/>
      <c r="AF123" s="518" t="s">
        <v>323</v>
      </c>
      <c r="AG123" s="519"/>
      <c r="AH123" s="518" t="s">
        <v>324</v>
      </c>
      <c r="AI123" s="114" t="s">
        <v>664</v>
      </c>
      <c r="AJ123" s="277">
        <v>1</v>
      </c>
      <c r="AK123" s="277" t="s">
        <v>503</v>
      </c>
      <c r="AL123" s="277">
        <v>365</v>
      </c>
      <c r="AM123" s="277">
        <v>1</v>
      </c>
      <c r="AN123" s="114"/>
      <c r="AO123" s="114"/>
      <c r="AP123" s="277">
        <v>0</v>
      </c>
      <c r="AQ123" s="36">
        <v>0</v>
      </c>
      <c r="AR123" s="277">
        <v>0</v>
      </c>
      <c r="AS123" s="36">
        <v>0</v>
      </c>
      <c r="AT123" s="115" t="s">
        <v>172</v>
      </c>
      <c r="AU123" s="115" t="s">
        <v>325</v>
      </c>
      <c r="AV123" s="115"/>
      <c r="AW123" s="116"/>
      <c r="AX123" s="231"/>
      <c r="AY123" s="231"/>
      <c r="AZ123" s="115"/>
      <c r="BA123" s="115" t="s">
        <v>515</v>
      </c>
      <c r="BB123" s="128" t="s">
        <v>611</v>
      </c>
      <c r="BC123" s="115"/>
      <c r="BD123" s="675"/>
      <c r="BE123" s="675"/>
      <c r="BF123" s="678"/>
      <c r="BG123" s="115" t="s">
        <v>807</v>
      </c>
    </row>
    <row r="124" spans="1:59" s="14" customFormat="1" ht="51.75" customHeight="1" x14ac:dyDescent="0.35">
      <c r="A124" s="536"/>
      <c r="B124" s="461"/>
      <c r="C124" s="26"/>
      <c r="D124" s="26"/>
      <c r="E124" s="26"/>
      <c r="F124" s="389"/>
      <c r="G124" s="389"/>
      <c r="H124" s="389"/>
      <c r="I124" s="389"/>
      <c r="J124" s="463"/>
      <c r="K124" s="524"/>
      <c r="L124" s="524" t="s">
        <v>321</v>
      </c>
      <c r="M124" s="532" t="s">
        <v>322</v>
      </c>
      <c r="N124" s="524" t="s">
        <v>322</v>
      </c>
      <c r="O124" s="524"/>
      <c r="P124" s="524"/>
      <c r="Q124" s="524"/>
      <c r="R124" s="524"/>
      <c r="S124" s="525"/>
      <c r="T124" s="524"/>
      <c r="U124" s="524"/>
      <c r="V124" s="277"/>
      <c r="W124" s="277"/>
      <c r="X124" s="504"/>
      <c r="Y124" s="504"/>
      <c r="Z124" s="504"/>
      <c r="AA124" s="504"/>
      <c r="AB124" s="504"/>
      <c r="AC124" s="521"/>
      <c r="AD124" s="504"/>
      <c r="AE124" s="521"/>
      <c r="AF124" s="518" t="s">
        <v>323</v>
      </c>
      <c r="AG124" s="519"/>
      <c r="AH124" s="518" t="s">
        <v>324</v>
      </c>
      <c r="AI124" s="583" t="s">
        <v>665</v>
      </c>
      <c r="AJ124" s="635">
        <v>100</v>
      </c>
      <c r="AK124" s="635" t="s">
        <v>503</v>
      </c>
      <c r="AL124" s="635">
        <v>365</v>
      </c>
      <c r="AM124" s="635">
        <v>100</v>
      </c>
      <c r="AN124" s="635"/>
      <c r="AO124" s="635"/>
      <c r="AP124" s="635">
        <v>1</v>
      </c>
      <c r="AQ124" s="638">
        <v>0.25</v>
      </c>
      <c r="AR124" s="641">
        <v>3</v>
      </c>
      <c r="AS124" s="638">
        <v>0.5</v>
      </c>
      <c r="AT124" s="115" t="s">
        <v>172</v>
      </c>
      <c r="AU124" s="115" t="s">
        <v>325</v>
      </c>
      <c r="AV124" s="115"/>
      <c r="AW124" s="69"/>
      <c r="AX124" s="230"/>
      <c r="AY124" s="230"/>
      <c r="AZ124" s="10"/>
      <c r="BA124" s="10" t="s">
        <v>515</v>
      </c>
      <c r="BB124" s="120" t="s">
        <v>608</v>
      </c>
      <c r="BC124" s="10"/>
      <c r="BD124" s="675"/>
      <c r="BE124" s="675"/>
      <c r="BF124" s="678"/>
      <c r="BG124" s="115" t="s">
        <v>809</v>
      </c>
    </row>
    <row r="125" spans="1:59" s="14" customFormat="1" ht="15" customHeight="1" x14ac:dyDescent="0.35">
      <c r="A125" s="536"/>
      <c r="B125" s="461"/>
      <c r="C125" s="26"/>
      <c r="D125" s="26"/>
      <c r="E125" s="26"/>
      <c r="F125" s="389"/>
      <c r="G125" s="389"/>
      <c r="H125" s="389"/>
      <c r="I125" s="389"/>
      <c r="J125" s="463"/>
      <c r="K125" s="524"/>
      <c r="L125" s="524" t="s">
        <v>321</v>
      </c>
      <c r="M125" s="532" t="s">
        <v>322</v>
      </c>
      <c r="N125" s="524" t="s">
        <v>322</v>
      </c>
      <c r="O125" s="524"/>
      <c r="P125" s="524"/>
      <c r="Q125" s="524"/>
      <c r="R125" s="524"/>
      <c r="S125" s="525"/>
      <c r="T125" s="524"/>
      <c r="U125" s="524"/>
      <c r="V125" s="277"/>
      <c r="W125" s="277"/>
      <c r="X125" s="504"/>
      <c r="Y125" s="504"/>
      <c r="Z125" s="504"/>
      <c r="AA125" s="504"/>
      <c r="AB125" s="504"/>
      <c r="AC125" s="521"/>
      <c r="AD125" s="504"/>
      <c r="AE125" s="521"/>
      <c r="AF125" s="518" t="s">
        <v>323</v>
      </c>
      <c r="AG125" s="519"/>
      <c r="AH125" s="518" t="s">
        <v>324</v>
      </c>
      <c r="AI125" s="584"/>
      <c r="AJ125" s="636"/>
      <c r="AK125" s="636"/>
      <c r="AL125" s="636"/>
      <c r="AM125" s="636"/>
      <c r="AN125" s="636"/>
      <c r="AO125" s="636"/>
      <c r="AP125" s="636"/>
      <c r="AQ125" s="639"/>
      <c r="AR125" s="642"/>
      <c r="AS125" s="639"/>
      <c r="AT125" s="10"/>
      <c r="AU125" s="10"/>
      <c r="AV125" s="10"/>
      <c r="AW125" s="69"/>
      <c r="AX125" s="230"/>
      <c r="AY125" s="230"/>
      <c r="AZ125" s="10"/>
      <c r="BA125" s="10"/>
      <c r="BB125" s="120"/>
      <c r="BC125" s="10"/>
      <c r="BD125" s="675"/>
      <c r="BE125" s="675"/>
      <c r="BF125" s="678"/>
      <c r="BG125" s="10"/>
    </row>
    <row r="126" spans="1:59" s="6" customFormat="1" ht="15" customHeight="1" x14ac:dyDescent="0.35">
      <c r="A126" s="536"/>
      <c r="B126" s="461"/>
      <c r="C126" s="34"/>
      <c r="D126" s="34"/>
      <c r="E126" s="34"/>
      <c r="F126" s="390"/>
      <c r="G126" s="390"/>
      <c r="H126" s="390"/>
      <c r="I126" s="390"/>
      <c r="J126" s="463"/>
      <c r="K126" s="524"/>
      <c r="L126" s="524" t="s">
        <v>321</v>
      </c>
      <c r="M126" s="532" t="s">
        <v>322</v>
      </c>
      <c r="N126" s="524" t="s">
        <v>322</v>
      </c>
      <c r="O126" s="524"/>
      <c r="P126" s="524"/>
      <c r="Q126" s="524"/>
      <c r="R126" s="524"/>
      <c r="S126" s="525"/>
      <c r="T126" s="524"/>
      <c r="U126" s="524"/>
      <c r="V126" s="246"/>
      <c r="W126" s="246"/>
      <c r="X126" s="504"/>
      <c r="Y126" s="504"/>
      <c r="Z126" s="504"/>
      <c r="AA126" s="504"/>
      <c r="AB126" s="504"/>
      <c r="AC126" s="521"/>
      <c r="AD126" s="504"/>
      <c r="AE126" s="521"/>
      <c r="AF126" s="518" t="s">
        <v>323</v>
      </c>
      <c r="AG126" s="519"/>
      <c r="AH126" s="518" t="s">
        <v>324</v>
      </c>
      <c r="AI126" s="585"/>
      <c r="AJ126" s="637"/>
      <c r="AK126" s="637"/>
      <c r="AL126" s="637"/>
      <c r="AM126" s="637"/>
      <c r="AN126" s="637"/>
      <c r="AO126" s="637"/>
      <c r="AP126" s="637"/>
      <c r="AQ126" s="640"/>
      <c r="AR126" s="643"/>
      <c r="AS126" s="640"/>
      <c r="AT126" s="41"/>
      <c r="AU126" s="41"/>
      <c r="AV126" s="41"/>
      <c r="AW126" s="70"/>
      <c r="AX126" s="50"/>
      <c r="AY126" s="50"/>
      <c r="AZ126" s="41"/>
      <c r="BA126" s="41"/>
      <c r="BB126" s="66"/>
      <c r="BC126" s="41"/>
      <c r="BD126" s="675"/>
      <c r="BE126" s="675"/>
      <c r="BF126" s="678"/>
      <c r="BG126" s="41"/>
    </row>
    <row r="127" spans="1:59" s="6" customFormat="1" ht="43.5" customHeight="1" x14ac:dyDescent="0.35">
      <c r="A127" s="536"/>
      <c r="B127" s="461"/>
      <c r="C127" s="34"/>
      <c r="D127" s="34"/>
      <c r="E127" s="34"/>
      <c r="F127" s="390"/>
      <c r="G127" s="390"/>
      <c r="H127" s="390"/>
      <c r="I127" s="390"/>
      <c r="J127" s="463"/>
      <c r="K127" s="246"/>
      <c r="L127" s="246"/>
      <c r="M127" s="340"/>
      <c r="N127" s="246"/>
      <c r="O127" s="246"/>
      <c r="P127" s="246"/>
      <c r="Q127" s="246"/>
      <c r="R127" s="246"/>
      <c r="S127" s="245"/>
      <c r="T127" s="246"/>
      <c r="U127" s="246"/>
      <c r="V127" s="246"/>
      <c r="W127" s="246"/>
      <c r="X127" s="277"/>
      <c r="Y127" s="277"/>
      <c r="Z127" s="277"/>
      <c r="AA127" s="277"/>
      <c r="AB127" s="277"/>
      <c r="AC127" s="437"/>
      <c r="AD127" s="277"/>
      <c r="AE127" s="437"/>
      <c r="AF127" s="580" t="s">
        <v>323</v>
      </c>
      <c r="AG127" s="581"/>
      <c r="AH127" s="581"/>
      <c r="AI127" s="581"/>
      <c r="AJ127" s="581"/>
      <c r="AK127" s="581"/>
      <c r="AL127" s="581"/>
      <c r="AM127" s="581"/>
      <c r="AN127" s="581"/>
      <c r="AO127" s="581"/>
      <c r="AP127" s="581"/>
      <c r="AQ127" s="581"/>
      <c r="AR127" s="582"/>
      <c r="AS127" s="438">
        <f>AVERAGE(AS121:AS126)</f>
        <v>0.25</v>
      </c>
      <c r="AT127" s="41"/>
      <c r="AU127" s="41"/>
      <c r="AV127" s="41"/>
      <c r="AW127" s="70"/>
      <c r="AX127" s="50"/>
      <c r="AY127" s="50"/>
      <c r="AZ127" s="41"/>
      <c r="BA127" s="41"/>
      <c r="BB127" s="66"/>
      <c r="BC127" s="41"/>
      <c r="BD127" s="675"/>
      <c r="BE127" s="675"/>
      <c r="BF127" s="678"/>
      <c r="BG127" s="41"/>
    </row>
    <row r="128" spans="1:59" s="14" customFormat="1" ht="81" customHeight="1" x14ac:dyDescent="0.35">
      <c r="A128" s="536"/>
      <c r="B128" s="461"/>
      <c r="C128" s="26"/>
      <c r="D128" s="26"/>
      <c r="E128" s="26"/>
      <c r="F128" s="389"/>
      <c r="G128" s="389"/>
      <c r="H128" s="389"/>
      <c r="I128" s="389"/>
      <c r="J128" s="463"/>
      <c r="K128" s="234" t="s">
        <v>328</v>
      </c>
      <c r="L128" s="234" t="s">
        <v>329</v>
      </c>
      <c r="M128" s="326" t="s">
        <v>330</v>
      </c>
      <c r="N128" s="234" t="s">
        <v>330</v>
      </c>
      <c r="O128" s="234" t="s">
        <v>331</v>
      </c>
      <c r="P128" s="234" t="s">
        <v>332</v>
      </c>
      <c r="Q128" s="234" t="s">
        <v>333</v>
      </c>
      <c r="R128" s="234" t="s">
        <v>331</v>
      </c>
      <c r="S128" s="234">
        <v>0</v>
      </c>
      <c r="T128" s="234" t="s">
        <v>334</v>
      </c>
      <c r="U128" s="234" t="s">
        <v>335</v>
      </c>
      <c r="V128" s="234" t="s">
        <v>335</v>
      </c>
      <c r="W128" s="234"/>
      <c r="X128" s="234" t="s">
        <v>331</v>
      </c>
      <c r="Y128" s="234" t="s">
        <v>331</v>
      </c>
      <c r="Z128" s="234" t="s">
        <v>331</v>
      </c>
      <c r="AA128" s="234" t="s">
        <v>331</v>
      </c>
      <c r="AB128" s="234" t="s">
        <v>331</v>
      </c>
      <c r="AC128" s="119">
        <v>0.5</v>
      </c>
      <c r="AD128" s="234" t="str">
        <f>+AB128</f>
        <v xml:space="preserve"> 0,87x1000</v>
      </c>
      <c r="AE128" s="352">
        <v>0.65300000000000002</v>
      </c>
      <c r="AF128" s="517" t="s">
        <v>336</v>
      </c>
      <c r="AG128" s="530">
        <v>2020130010069</v>
      </c>
      <c r="AH128" s="517" t="s">
        <v>337</v>
      </c>
      <c r="AI128" s="233" t="s">
        <v>338</v>
      </c>
      <c r="AJ128" s="234">
        <v>100</v>
      </c>
      <c r="AK128" s="234" t="s">
        <v>503</v>
      </c>
      <c r="AL128" s="234">
        <v>365</v>
      </c>
      <c r="AM128" s="234">
        <v>100</v>
      </c>
      <c r="AN128" s="129"/>
      <c r="AO128" s="129"/>
      <c r="AP128" s="234">
        <v>18</v>
      </c>
      <c r="AQ128" s="238">
        <v>0.18</v>
      </c>
      <c r="AR128" s="234">
        <v>32</v>
      </c>
      <c r="AS128" s="119">
        <f>+(AP128+AR128)/AJ128</f>
        <v>0.5</v>
      </c>
      <c r="AT128" s="232" t="s">
        <v>339</v>
      </c>
      <c r="AU128" s="232" t="s">
        <v>325</v>
      </c>
      <c r="AV128" s="232" t="s">
        <v>613</v>
      </c>
      <c r="AW128" s="117">
        <v>647258187</v>
      </c>
      <c r="AX128" s="233" t="s">
        <v>532</v>
      </c>
      <c r="AY128" s="233" t="s">
        <v>567</v>
      </c>
      <c r="AZ128" s="232" t="s">
        <v>566</v>
      </c>
      <c r="BA128" s="232" t="s">
        <v>515</v>
      </c>
      <c r="BB128" s="129" t="s">
        <v>611</v>
      </c>
      <c r="BC128" s="232"/>
      <c r="BD128" s="675"/>
      <c r="BE128" s="675"/>
      <c r="BF128" s="678"/>
      <c r="BG128" s="232" t="s">
        <v>810</v>
      </c>
    </row>
    <row r="129" spans="1:61" s="14" customFormat="1" ht="57" customHeight="1" x14ac:dyDescent="0.35">
      <c r="A129" s="536"/>
      <c r="B129" s="461"/>
      <c r="C129" s="26"/>
      <c r="D129" s="26"/>
      <c r="E129" s="26"/>
      <c r="F129" s="389"/>
      <c r="G129" s="389"/>
      <c r="H129" s="389"/>
      <c r="I129" s="389"/>
      <c r="J129" s="463"/>
      <c r="K129" s="234" t="s">
        <v>340</v>
      </c>
      <c r="L129" s="234" t="s">
        <v>341</v>
      </c>
      <c r="M129" s="326" t="s">
        <v>342</v>
      </c>
      <c r="N129" s="234" t="s">
        <v>342</v>
      </c>
      <c r="O129" s="234" t="s">
        <v>343</v>
      </c>
      <c r="P129" s="234" t="s">
        <v>344</v>
      </c>
      <c r="Q129" s="234" t="s">
        <v>345</v>
      </c>
      <c r="R129" s="234" t="s">
        <v>343</v>
      </c>
      <c r="S129" s="234">
        <v>0</v>
      </c>
      <c r="T129" s="234" t="s">
        <v>334</v>
      </c>
      <c r="U129" s="234" t="s">
        <v>335</v>
      </c>
      <c r="V129" s="234" t="s">
        <v>335</v>
      </c>
      <c r="W129" s="234"/>
      <c r="X129" s="234" t="s">
        <v>343</v>
      </c>
      <c r="Y129" s="234" t="s">
        <v>818</v>
      </c>
      <c r="Z129" s="234" t="s">
        <v>818</v>
      </c>
      <c r="AA129" s="234" t="s">
        <v>818</v>
      </c>
      <c r="AB129" s="234" t="str">
        <f>+AA129</f>
        <v xml:space="preserve"> 47,60x1000 </v>
      </c>
      <c r="AC129" s="119">
        <v>0.5</v>
      </c>
      <c r="AD129" s="234" t="str">
        <f>+AB129</f>
        <v xml:space="preserve"> 47,60x1000 </v>
      </c>
      <c r="AE129" s="352">
        <f>+AE128</f>
        <v>0.65300000000000002</v>
      </c>
      <c r="AF129" s="517"/>
      <c r="AG129" s="530"/>
      <c r="AH129" s="520"/>
      <c r="AI129" s="233" t="s">
        <v>346</v>
      </c>
      <c r="AJ129" s="234">
        <v>2500</v>
      </c>
      <c r="AK129" s="234" t="s">
        <v>503</v>
      </c>
      <c r="AL129" s="234">
        <v>365</v>
      </c>
      <c r="AM129" s="234">
        <v>2500</v>
      </c>
      <c r="AN129" s="129"/>
      <c r="AO129" s="129"/>
      <c r="AP129" s="234">
        <v>680</v>
      </c>
      <c r="AQ129" s="238">
        <f>+AP129/AM129</f>
        <v>0.27200000000000002</v>
      </c>
      <c r="AR129" s="234">
        <v>638</v>
      </c>
      <c r="AS129" s="119">
        <f t="shared" ref="AS129:AS130" si="9">+(AP129+AR129)/AJ129</f>
        <v>0.5272</v>
      </c>
      <c r="AT129" s="232" t="s">
        <v>339</v>
      </c>
      <c r="AU129" s="232" t="s">
        <v>325</v>
      </c>
      <c r="AV129" s="232"/>
      <c r="AW129" s="117"/>
      <c r="AX129" s="233"/>
      <c r="AY129" s="233"/>
      <c r="AZ129" s="232"/>
      <c r="BA129" s="232" t="s">
        <v>515</v>
      </c>
      <c r="BB129" s="129" t="s">
        <v>611</v>
      </c>
      <c r="BC129" s="232"/>
      <c r="BD129" s="675"/>
      <c r="BE129" s="675"/>
      <c r="BF129" s="678"/>
      <c r="BG129" s="232" t="s">
        <v>811</v>
      </c>
    </row>
    <row r="130" spans="1:61" s="14" customFormat="1" ht="122.25" customHeight="1" x14ac:dyDescent="0.35">
      <c r="A130" s="536"/>
      <c r="B130" s="461"/>
      <c r="C130" s="26"/>
      <c r="D130" s="26"/>
      <c r="E130" s="26"/>
      <c r="F130" s="389"/>
      <c r="G130" s="389"/>
      <c r="H130" s="389"/>
      <c r="I130" s="389"/>
      <c r="J130" s="463"/>
      <c r="K130" s="234" t="s">
        <v>347</v>
      </c>
      <c r="L130" s="234" t="s">
        <v>348</v>
      </c>
      <c r="M130" s="326" t="s">
        <v>349</v>
      </c>
      <c r="N130" s="234" t="s">
        <v>349</v>
      </c>
      <c r="O130" s="190">
        <f>70*4</f>
        <v>280</v>
      </c>
      <c r="P130" s="190">
        <v>70</v>
      </c>
      <c r="Q130" s="190">
        <v>20</v>
      </c>
      <c r="R130" s="190">
        <v>70</v>
      </c>
      <c r="S130" s="190">
        <v>0</v>
      </c>
      <c r="T130" s="190">
        <v>10</v>
      </c>
      <c r="U130" s="190">
        <v>30</v>
      </c>
      <c r="V130" s="190">
        <v>25</v>
      </c>
      <c r="W130" s="190"/>
      <c r="X130" s="190">
        <v>70</v>
      </c>
      <c r="Y130" s="190">
        <v>90</v>
      </c>
      <c r="Z130" s="190">
        <v>10</v>
      </c>
      <c r="AA130" s="190">
        <v>32</v>
      </c>
      <c r="AB130" s="190">
        <f>+AA130+Z130</f>
        <v>42</v>
      </c>
      <c r="AC130" s="237">
        <f>+AB130/X130</f>
        <v>0.6</v>
      </c>
      <c r="AD130" s="190">
        <f>+AB130+Y130</f>
        <v>132</v>
      </c>
      <c r="AE130" s="237">
        <f>+AD130/O130</f>
        <v>0.47142857142857142</v>
      </c>
      <c r="AF130" s="517"/>
      <c r="AG130" s="530"/>
      <c r="AH130" s="520"/>
      <c r="AI130" s="118" t="s">
        <v>666</v>
      </c>
      <c r="AJ130" s="190">
        <v>100</v>
      </c>
      <c r="AK130" s="190" t="s">
        <v>503</v>
      </c>
      <c r="AL130" s="190">
        <v>365</v>
      </c>
      <c r="AM130" s="190">
        <v>100</v>
      </c>
      <c r="AN130" s="447"/>
      <c r="AO130" s="447"/>
      <c r="AP130" s="190">
        <v>10</v>
      </c>
      <c r="AQ130" s="191">
        <v>0.128</v>
      </c>
      <c r="AR130" s="190">
        <v>32</v>
      </c>
      <c r="AS130" s="119">
        <f t="shared" si="9"/>
        <v>0.42</v>
      </c>
      <c r="AT130" s="232" t="s">
        <v>339</v>
      </c>
      <c r="AU130" s="232" t="s">
        <v>325</v>
      </c>
      <c r="AV130" s="232"/>
      <c r="AW130" s="117"/>
      <c r="AX130" s="233"/>
      <c r="AY130" s="233"/>
      <c r="AZ130" s="232"/>
      <c r="BA130" s="232" t="s">
        <v>515</v>
      </c>
      <c r="BB130" s="129" t="s">
        <v>608</v>
      </c>
      <c r="BC130" s="232"/>
      <c r="BD130" s="675"/>
      <c r="BE130" s="675"/>
      <c r="BF130" s="678"/>
      <c r="BG130" s="232" t="s">
        <v>812</v>
      </c>
    </row>
    <row r="131" spans="1:61" s="14" customFormat="1" ht="109.5" customHeight="1" x14ac:dyDescent="0.35">
      <c r="A131" s="536"/>
      <c r="B131" s="461"/>
      <c r="C131" s="26"/>
      <c r="D131" s="26"/>
      <c r="E131" s="26"/>
      <c r="F131" s="389"/>
      <c r="G131" s="389"/>
      <c r="H131" s="389"/>
      <c r="I131" s="389"/>
      <c r="J131" s="463"/>
      <c r="K131" s="234" t="s">
        <v>350</v>
      </c>
      <c r="L131" s="234" t="s">
        <v>351</v>
      </c>
      <c r="M131" s="326" t="s">
        <v>352</v>
      </c>
      <c r="N131" s="234" t="s">
        <v>352</v>
      </c>
      <c r="O131" s="190">
        <f>20*4</f>
        <v>80</v>
      </c>
      <c r="P131" s="190">
        <v>20</v>
      </c>
      <c r="Q131" s="190">
        <v>20</v>
      </c>
      <c r="R131" s="190">
        <v>20</v>
      </c>
      <c r="S131" s="190">
        <v>0</v>
      </c>
      <c r="T131" s="190">
        <v>5</v>
      </c>
      <c r="U131" s="190">
        <v>5</v>
      </c>
      <c r="V131" s="190">
        <v>7</v>
      </c>
      <c r="W131" s="190"/>
      <c r="X131" s="190">
        <v>20</v>
      </c>
      <c r="Y131" s="190">
        <v>39</v>
      </c>
      <c r="Z131" s="190">
        <v>0</v>
      </c>
      <c r="AA131" s="190">
        <v>21</v>
      </c>
      <c r="AB131" s="190">
        <f>+AA131</f>
        <v>21</v>
      </c>
      <c r="AC131" s="191">
        <v>1</v>
      </c>
      <c r="AD131" s="190">
        <f>+AB131+Y131</f>
        <v>60</v>
      </c>
      <c r="AE131" s="237">
        <f>+AD131/O131</f>
        <v>0.75</v>
      </c>
      <c r="AF131" s="517"/>
      <c r="AG131" s="530"/>
      <c r="AH131" s="520"/>
      <c r="AI131" s="118" t="s">
        <v>353</v>
      </c>
      <c r="AJ131" s="190">
        <v>100</v>
      </c>
      <c r="AK131" s="190" t="s">
        <v>503</v>
      </c>
      <c r="AL131" s="190">
        <v>365</v>
      </c>
      <c r="AM131" s="190">
        <v>100</v>
      </c>
      <c r="AN131" s="447"/>
      <c r="AO131" s="447"/>
      <c r="AP131" s="190">
        <v>8</v>
      </c>
      <c r="AQ131" s="191">
        <v>0.1</v>
      </c>
      <c r="AR131" s="236">
        <v>21</v>
      </c>
      <c r="AS131" s="119">
        <f>+(AP131+AR131)/AJ131</f>
        <v>0.28999999999999998</v>
      </c>
      <c r="AT131" s="232" t="s">
        <v>339</v>
      </c>
      <c r="AU131" s="232" t="s">
        <v>325</v>
      </c>
      <c r="AV131" s="232"/>
      <c r="AW131" s="117"/>
      <c r="AX131" s="233"/>
      <c r="AY131" s="233"/>
      <c r="AZ131" s="232"/>
      <c r="BA131" s="232" t="s">
        <v>515</v>
      </c>
      <c r="BB131" s="129" t="s">
        <v>608</v>
      </c>
      <c r="BC131" s="232"/>
      <c r="BD131" s="675"/>
      <c r="BE131" s="675"/>
      <c r="BF131" s="678"/>
      <c r="BG131" s="232" t="s">
        <v>813</v>
      </c>
    </row>
    <row r="132" spans="1:61" s="14" customFormat="1" ht="81" customHeight="1" x14ac:dyDescent="0.35">
      <c r="A132" s="536"/>
      <c r="B132" s="461"/>
      <c r="C132" s="26"/>
      <c r="D132" s="26"/>
      <c r="E132" s="26"/>
      <c r="F132" s="389"/>
      <c r="G132" s="389"/>
      <c r="H132" s="389"/>
      <c r="I132" s="389"/>
      <c r="J132" s="463"/>
      <c r="K132" s="234" t="s">
        <v>354</v>
      </c>
      <c r="L132" s="119" t="s">
        <v>355</v>
      </c>
      <c r="M132" s="326" t="s">
        <v>356</v>
      </c>
      <c r="N132" s="234" t="s">
        <v>356</v>
      </c>
      <c r="O132" s="234" t="s">
        <v>357</v>
      </c>
      <c r="P132" s="234">
        <v>0</v>
      </c>
      <c r="Q132" s="234" t="s">
        <v>358</v>
      </c>
      <c r="R132" s="234" t="s">
        <v>357</v>
      </c>
      <c r="S132" s="234">
        <v>0</v>
      </c>
      <c r="T132" s="234" t="s">
        <v>334</v>
      </c>
      <c r="U132" s="234" t="s">
        <v>335</v>
      </c>
      <c r="V132" s="234" t="s">
        <v>335</v>
      </c>
      <c r="W132" s="234"/>
      <c r="X132" s="234" t="s">
        <v>357</v>
      </c>
      <c r="Y132" s="234"/>
      <c r="Z132" s="234" t="s">
        <v>820</v>
      </c>
      <c r="AA132" s="234" t="s">
        <v>820</v>
      </c>
      <c r="AB132" s="234" t="s">
        <v>820</v>
      </c>
      <c r="AC132" s="119">
        <v>0.5</v>
      </c>
      <c r="AD132" s="234" t="s">
        <v>820</v>
      </c>
      <c r="AE132" s="352">
        <v>0.65300000000000002</v>
      </c>
      <c r="AF132" s="517"/>
      <c r="AG132" s="530"/>
      <c r="AH132" s="520"/>
      <c r="AI132" s="118" t="s">
        <v>667</v>
      </c>
      <c r="AJ132" s="190">
        <v>100</v>
      </c>
      <c r="AK132" s="190" t="s">
        <v>503</v>
      </c>
      <c r="AL132" s="190">
        <v>365</v>
      </c>
      <c r="AM132" s="190">
        <v>100</v>
      </c>
      <c r="AN132" s="447"/>
      <c r="AO132" s="447"/>
      <c r="AP132" s="190">
        <v>10</v>
      </c>
      <c r="AQ132" s="191">
        <v>0.11</v>
      </c>
      <c r="AR132" s="190">
        <v>25</v>
      </c>
      <c r="AS132" s="119">
        <f>+(AP132+AR132)/AJ132</f>
        <v>0.35</v>
      </c>
      <c r="AT132" s="232" t="s">
        <v>339</v>
      </c>
      <c r="AU132" s="232" t="s">
        <v>325</v>
      </c>
      <c r="AV132" s="232"/>
      <c r="AW132" s="117"/>
      <c r="AX132" s="233"/>
      <c r="AY132" s="233"/>
      <c r="AZ132" s="232"/>
      <c r="BA132" s="232" t="s">
        <v>515</v>
      </c>
      <c r="BB132" s="129" t="s">
        <v>608</v>
      </c>
      <c r="BC132" s="232"/>
      <c r="BD132" s="675"/>
      <c r="BE132" s="675"/>
      <c r="BF132" s="678"/>
      <c r="BG132" s="232" t="s">
        <v>819</v>
      </c>
      <c r="BI132" s="14">
        <f>10/81</f>
        <v>0.12345679012345678</v>
      </c>
    </row>
    <row r="133" spans="1:61" s="14" customFormat="1" ht="114.75" customHeight="1" x14ac:dyDescent="0.35">
      <c r="A133" s="536"/>
      <c r="B133" s="461"/>
      <c r="C133" s="26"/>
      <c r="D133" s="26"/>
      <c r="E133" s="26"/>
      <c r="F133" s="389"/>
      <c r="G133" s="389"/>
      <c r="H133" s="389"/>
      <c r="I133" s="389"/>
      <c r="J133" s="463"/>
      <c r="K133" s="234" t="s">
        <v>359</v>
      </c>
      <c r="L133" s="234">
        <v>0</v>
      </c>
      <c r="M133" s="326" t="s">
        <v>360</v>
      </c>
      <c r="N133" s="234" t="s">
        <v>360</v>
      </c>
      <c r="O133" s="190">
        <v>1</v>
      </c>
      <c r="P133" s="190">
        <v>1</v>
      </c>
      <c r="Q133" s="190">
        <v>1</v>
      </c>
      <c r="R133" s="190">
        <v>1</v>
      </c>
      <c r="S133" s="190">
        <v>0</v>
      </c>
      <c r="T133" s="190">
        <v>0</v>
      </c>
      <c r="U133" s="190">
        <v>0</v>
      </c>
      <c r="V133" s="190">
        <v>1</v>
      </c>
      <c r="W133" s="190"/>
      <c r="X133" s="190">
        <v>1</v>
      </c>
      <c r="Y133" s="190">
        <v>1</v>
      </c>
      <c r="Z133" s="190">
        <v>0</v>
      </c>
      <c r="AA133" s="190">
        <v>0.25</v>
      </c>
      <c r="AB133" s="190">
        <f>+AA133</f>
        <v>0.25</v>
      </c>
      <c r="AC133" s="191">
        <v>0.25</v>
      </c>
      <c r="AD133" s="190">
        <v>1</v>
      </c>
      <c r="AE133" s="191">
        <v>1</v>
      </c>
      <c r="AF133" s="517"/>
      <c r="AG133" s="530"/>
      <c r="AH133" s="520"/>
      <c r="AI133" s="118" t="s">
        <v>361</v>
      </c>
      <c r="AJ133" s="190">
        <v>100</v>
      </c>
      <c r="AK133" s="190" t="s">
        <v>503</v>
      </c>
      <c r="AL133" s="190">
        <v>365</v>
      </c>
      <c r="AM133" s="190">
        <v>100</v>
      </c>
      <c r="AN133" s="447"/>
      <c r="AO133" s="447"/>
      <c r="AP133" s="190">
        <v>1</v>
      </c>
      <c r="AQ133" s="191">
        <v>0.25</v>
      </c>
      <c r="AR133" s="190">
        <v>7</v>
      </c>
      <c r="AS133" s="119">
        <v>0.5</v>
      </c>
      <c r="AT133" s="232" t="s">
        <v>339</v>
      </c>
      <c r="AU133" s="232" t="s">
        <v>325</v>
      </c>
      <c r="AV133" s="232"/>
      <c r="AW133" s="117"/>
      <c r="AX133" s="233"/>
      <c r="AY133" s="233"/>
      <c r="AZ133" s="232"/>
      <c r="BA133" s="232" t="s">
        <v>515</v>
      </c>
      <c r="BB133" s="129" t="s">
        <v>608</v>
      </c>
      <c r="BC133" s="232"/>
      <c r="BD133" s="675"/>
      <c r="BE133" s="675"/>
      <c r="BF133" s="678"/>
      <c r="BG133" s="232" t="s">
        <v>814</v>
      </c>
    </row>
    <row r="134" spans="1:61" s="14" customFormat="1" ht="75.75" customHeight="1" x14ac:dyDescent="0.35">
      <c r="A134" s="536"/>
      <c r="B134" s="461"/>
      <c r="C134" s="26"/>
      <c r="D134" s="26"/>
      <c r="E134" s="26"/>
      <c r="F134" s="389"/>
      <c r="G134" s="389"/>
      <c r="H134" s="389"/>
      <c r="I134" s="389"/>
      <c r="J134" s="463"/>
      <c r="K134" s="234" t="s">
        <v>362</v>
      </c>
      <c r="L134" s="234" t="s">
        <v>351</v>
      </c>
      <c r="M134" s="326" t="s">
        <v>363</v>
      </c>
      <c r="N134" s="234" t="s">
        <v>363</v>
      </c>
      <c r="O134" s="190">
        <f>20*4</f>
        <v>80</v>
      </c>
      <c r="P134" s="190">
        <v>20</v>
      </c>
      <c r="Q134" s="190">
        <v>17</v>
      </c>
      <c r="R134" s="190">
        <v>20</v>
      </c>
      <c r="S134" s="190">
        <v>0</v>
      </c>
      <c r="T134" s="190">
        <v>0</v>
      </c>
      <c r="U134" s="190">
        <v>10</v>
      </c>
      <c r="V134" s="190">
        <v>5</v>
      </c>
      <c r="W134" s="190"/>
      <c r="X134" s="190">
        <v>20</v>
      </c>
      <c r="Y134" s="190">
        <v>37</v>
      </c>
      <c r="Z134" s="190">
        <v>0</v>
      </c>
      <c r="AA134" s="190">
        <v>5</v>
      </c>
      <c r="AB134" s="190">
        <f>+AA134</f>
        <v>5</v>
      </c>
      <c r="AC134" s="237">
        <f>+AB134/X134</f>
        <v>0.25</v>
      </c>
      <c r="AD134" s="190">
        <f>+AB134+Y134</f>
        <v>42</v>
      </c>
      <c r="AE134" s="237">
        <f>+AD134/O134</f>
        <v>0.52500000000000002</v>
      </c>
      <c r="AF134" s="517"/>
      <c r="AG134" s="530"/>
      <c r="AH134" s="520"/>
      <c r="AI134" s="118" t="s">
        <v>364</v>
      </c>
      <c r="AJ134" s="190">
        <v>1000</v>
      </c>
      <c r="AK134" s="190" t="s">
        <v>503</v>
      </c>
      <c r="AL134" s="190">
        <v>365</v>
      </c>
      <c r="AM134" s="190">
        <v>1000</v>
      </c>
      <c r="AN134" s="447"/>
      <c r="AO134" s="447"/>
      <c r="AP134" s="190">
        <v>86</v>
      </c>
      <c r="AQ134" s="239">
        <v>8.5999999999999993E-2</v>
      </c>
      <c r="AR134" s="190">
        <v>243</v>
      </c>
      <c r="AS134" s="237">
        <f>+(AP134+AR134)/AJ134</f>
        <v>0.32900000000000001</v>
      </c>
      <c r="AT134" s="232" t="s">
        <v>140</v>
      </c>
      <c r="AU134" s="232" t="s">
        <v>325</v>
      </c>
      <c r="AV134" s="232"/>
      <c r="AW134" s="117"/>
      <c r="AX134" s="233"/>
      <c r="AY134" s="233"/>
      <c r="AZ134" s="232"/>
      <c r="BA134" s="232" t="s">
        <v>515</v>
      </c>
      <c r="BB134" s="129" t="s">
        <v>608</v>
      </c>
      <c r="BC134" s="232"/>
      <c r="BD134" s="675"/>
      <c r="BE134" s="675"/>
      <c r="BF134" s="678"/>
      <c r="BG134" s="232" t="s">
        <v>815</v>
      </c>
    </row>
    <row r="135" spans="1:61" s="14" customFormat="1" ht="91.5" customHeight="1" x14ac:dyDescent="0.35">
      <c r="A135" s="536"/>
      <c r="B135" s="461"/>
      <c r="C135" s="26"/>
      <c r="D135" s="26"/>
      <c r="E135" s="26"/>
      <c r="F135" s="389"/>
      <c r="G135" s="389"/>
      <c r="H135" s="389"/>
      <c r="I135" s="389"/>
      <c r="J135" s="463"/>
      <c r="K135" s="234" t="s">
        <v>365</v>
      </c>
      <c r="L135" s="234" t="s">
        <v>366</v>
      </c>
      <c r="M135" s="326" t="s">
        <v>367</v>
      </c>
      <c r="N135" s="234" t="s">
        <v>367</v>
      </c>
      <c r="O135" s="190">
        <v>4</v>
      </c>
      <c r="P135" s="190">
        <v>1</v>
      </c>
      <c r="Q135" s="190">
        <v>0</v>
      </c>
      <c r="R135" s="190">
        <v>1</v>
      </c>
      <c r="S135" s="190">
        <v>0</v>
      </c>
      <c r="T135" s="190">
        <v>0</v>
      </c>
      <c r="U135" s="190">
        <v>0</v>
      </c>
      <c r="V135" s="190">
        <v>1</v>
      </c>
      <c r="W135" s="190"/>
      <c r="X135" s="190">
        <v>1</v>
      </c>
      <c r="Y135" s="190">
        <v>1</v>
      </c>
      <c r="Z135" s="190">
        <v>0</v>
      </c>
      <c r="AA135" s="190">
        <v>0</v>
      </c>
      <c r="AB135" s="190">
        <v>0</v>
      </c>
      <c r="AC135" s="191">
        <v>0</v>
      </c>
      <c r="AD135" s="190">
        <v>1</v>
      </c>
      <c r="AE135" s="191">
        <v>1</v>
      </c>
      <c r="AF135" s="517"/>
      <c r="AG135" s="530"/>
      <c r="AH135" s="520"/>
      <c r="AI135" s="118" t="s">
        <v>368</v>
      </c>
      <c r="AJ135" s="190">
        <v>1</v>
      </c>
      <c r="AK135" s="190" t="s">
        <v>503</v>
      </c>
      <c r="AL135" s="190">
        <v>365</v>
      </c>
      <c r="AM135" s="190">
        <v>1</v>
      </c>
      <c r="AN135" s="447"/>
      <c r="AO135" s="447"/>
      <c r="AP135" s="190">
        <v>0</v>
      </c>
      <c r="AQ135" s="190">
        <v>0</v>
      </c>
      <c r="AR135" s="236">
        <v>0</v>
      </c>
      <c r="AS135" s="237">
        <f t="shared" ref="AS135:AS136" si="10">+(AP135+AR135)/AJ135</f>
        <v>0</v>
      </c>
      <c r="AT135" s="232" t="s">
        <v>140</v>
      </c>
      <c r="AU135" s="232" t="s">
        <v>325</v>
      </c>
      <c r="AV135" s="232"/>
      <c r="AW135" s="117"/>
      <c r="AX135" s="233"/>
      <c r="AY135" s="233"/>
      <c r="AZ135" s="232"/>
      <c r="BA135" s="232" t="s">
        <v>515</v>
      </c>
      <c r="BB135" s="129" t="s">
        <v>608</v>
      </c>
      <c r="BC135" s="232"/>
      <c r="BD135" s="675"/>
      <c r="BE135" s="675"/>
      <c r="BF135" s="678"/>
      <c r="BG135" s="232" t="s">
        <v>816</v>
      </c>
    </row>
    <row r="136" spans="1:61" s="14" customFormat="1" ht="83.25" customHeight="1" x14ac:dyDescent="0.35">
      <c r="A136" s="536"/>
      <c r="B136" s="461"/>
      <c r="C136" s="26"/>
      <c r="D136" s="26"/>
      <c r="E136" s="26"/>
      <c r="F136" s="389"/>
      <c r="G136" s="389"/>
      <c r="H136" s="389"/>
      <c r="I136" s="389"/>
      <c r="J136" s="463"/>
      <c r="K136" s="523" t="s">
        <v>369</v>
      </c>
      <c r="L136" s="528" t="s">
        <v>370</v>
      </c>
      <c r="M136" s="529" t="s">
        <v>371</v>
      </c>
      <c r="N136" s="523" t="s">
        <v>371</v>
      </c>
      <c r="O136" s="517">
        <v>8000</v>
      </c>
      <c r="P136" s="517">
        <v>2000</v>
      </c>
      <c r="Q136" s="234">
        <v>0</v>
      </c>
      <c r="R136" s="234">
        <v>2000</v>
      </c>
      <c r="S136" s="234">
        <v>0</v>
      </c>
      <c r="T136" s="234">
        <v>0</v>
      </c>
      <c r="U136" s="234">
        <v>0</v>
      </c>
      <c r="V136" s="234">
        <v>526</v>
      </c>
      <c r="W136" s="234"/>
      <c r="X136" s="517">
        <v>2000</v>
      </c>
      <c r="Y136" s="517">
        <v>1343</v>
      </c>
      <c r="Z136" s="517">
        <v>80</v>
      </c>
      <c r="AA136" s="517">
        <v>40</v>
      </c>
      <c r="AB136" s="517">
        <f>+Z136+AA136</f>
        <v>120</v>
      </c>
      <c r="AC136" s="522">
        <f>+AB136/X136</f>
        <v>0.06</v>
      </c>
      <c r="AD136" s="517">
        <f>+AB136+Y136</f>
        <v>1463</v>
      </c>
      <c r="AE136" s="522">
        <f>+AD136/O136</f>
        <v>0.18287500000000001</v>
      </c>
      <c r="AF136" s="517"/>
      <c r="AG136" s="530"/>
      <c r="AH136" s="520"/>
      <c r="AI136" s="118" t="s">
        <v>668</v>
      </c>
      <c r="AJ136" s="190">
        <v>1000</v>
      </c>
      <c r="AK136" s="190" t="s">
        <v>503</v>
      </c>
      <c r="AL136" s="190">
        <v>365</v>
      </c>
      <c r="AM136" s="190">
        <v>1000</v>
      </c>
      <c r="AN136" s="447"/>
      <c r="AO136" s="447"/>
      <c r="AP136" s="190">
        <v>80</v>
      </c>
      <c r="AQ136" s="191">
        <v>0.08</v>
      </c>
      <c r="AR136" s="236">
        <v>40</v>
      </c>
      <c r="AS136" s="237">
        <f t="shared" si="10"/>
        <v>0.12</v>
      </c>
      <c r="AT136" s="232" t="s">
        <v>140</v>
      </c>
      <c r="AU136" s="232" t="s">
        <v>325</v>
      </c>
      <c r="AV136" s="232"/>
      <c r="AW136" s="117"/>
      <c r="AX136" s="233"/>
      <c r="AY136" s="233"/>
      <c r="AZ136" s="232"/>
      <c r="BA136" s="232" t="s">
        <v>515</v>
      </c>
      <c r="BB136" s="129" t="s">
        <v>608</v>
      </c>
      <c r="BC136" s="232"/>
      <c r="BD136" s="675"/>
      <c r="BE136" s="675"/>
      <c r="BF136" s="678"/>
      <c r="BG136" s="232" t="s">
        <v>817</v>
      </c>
    </row>
    <row r="137" spans="1:61" s="6" customFormat="1" ht="15" customHeight="1" x14ac:dyDescent="0.35">
      <c r="A137" s="536"/>
      <c r="B137" s="461"/>
      <c r="C137" s="34"/>
      <c r="D137" s="34"/>
      <c r="E137" s="34"/>
      <c r="F137" s="390"/>
      <c r="G137" s="390"/>
      <c r="H137" s="390"/>
      <c r="I137" s="390"/>
      <c r="J137" s="463"/>
      <c r="K137" s="523"/>
      <c r="L137" s="528"/>
      <c r="M137" s="529"/>
      <c r="N137" s="523"/>
      <c r="O137" s="517"/>
      <c r="P137" s="517"/>
      <c r="Q137" s="351"/>
      <c r="R137" s="351"/>
      <c r="S137" s="351"/>
      <c r="T137" s="351"/>
      <c r="U137" s="351"/>
      <c r="V137" s="351"/>
      <c r="W137" s="351"/>
      <c r="X137" s="517"/>
      <c r="Y137" s="517"/>
      <c r="Z137" s="517"/>
      <c r="AA137" s="517"/>
      <c r="AB137" s="517"/>
      <c r="AC137" s="522"/>
      <c r="AD137" s="517"/>
      <c r="AE137" s="522"/>
      <c r="AF137" s="517"/>
      <c r="AG137" s="530"/>
      <c r="AH137" s="520"/>
      <c r="AI137" s="341"/>
      <c r="AJ137" s="342"/>
      <c r="AK137" s="342" t="s">
        <v>503</v>
      </c>
      <c r="AL137" s="342">
        <v>365</v>
      </c>
      <c r="AM137" s="342"/>
      <c r="AN137" s="341"/>
      <c r="AO137" s="341"/>
      <c r="AP137" s="129"/>
      <c r="AQ137" s="129"/>
      <c r="AR137" s="129"/>
      <c r="AS137" s="234"/>
      <c r="AT137" s="51" t="s">
        <v>140</v>
      </c>
      <c r="AU137" s="342" t="s">
        <v>325</v>
      </c>
      <c r="AV137" s="342"/>
      <c r="AW137" s="72"/>
      <c r="AX137" s="341"/>
      <c r="AY137" s="341"/>
      <c r="AZ137" s="342"/>
      <c r="BA137" s="342"/>
      <c r="BB137" s="130"/>
      <c r="BC137" s="342"/>
      <c r="BD137" s="675"/>
      <c r="BE137" s="675"/>
      <c r="BF137" s="678"/>
      <c r="BG137" s="342"/>
    </row>
    <row r="138" spans="1:61" s="6" customFormat="1" ht="47.25" customHeight="1" x14ac:dyDescent="0.35">
      <c r="A138" s="536"/>
      <c r="B138" s="461"/>
      <c r="C138" s="34"/>
      <c r="D138" s="34"/>
      <c r="E138" s="34"/>
      <c r="F138" s="390"/>
      <c r="G138" s="390"/>
      <c r="H138" s="390"/>
      <c r="I138" s="390"/>
      <c r="J138" s="464"/>
      <c r="K138" s="468" t="s">
        <v>326</v>
      </c>
      <c r="L138" s="468"/>
      <c r="M138" s="468"/>
      <c r="N138" s="468"/>
      <c r="O138" s="468"/>
      <c r="P138" s="468"/>
      <c r="Q138" s="468"/>
      <c r="R138" s="468"/>
      <c r="S138" s="468"/>
      <c r="T138" s="468"/>
      <c r="U138" s="468"/>
      <c r="V138" s="468"/>
      <c r="W138" s="468"/>
      <c r="X138" s="468"/>
      <c r="Y138" s="468"/>
      <c r="Z138" s="468"/>
      <c r="AA138" s="468"/>
      <c r="AB138" s="468"/>
      <c r="AC138" s="336">
        <f>AVERAGE(AC121:AC137)</f>
        <v>0.41099999999999992</v>
      </c>
      <c r="AD138" s="343"/>
      <c r="AE138" s="283">
        <f>AVERAGE(AE121:AE137)</f>
        <v>0.64633035714285714</v>
      </c>
      <c r="AF138" s="565" t="s">
        <v>336</v>
      </c>
      <c r="AG138" s="566"/>
      <c r="AH138" s="566"/>
      <c r="AI138" s="566"/>
      <c r="AJ138" s="566"/>
      <c r="AK138" s="566"/>
      <c r="AL138" s="566"/>
      <c r="AM138" s="566"/>
      <c r="AN138" s="566"/>
      <c r="AO138" s="566"/>
      <c r="AP138" s="566"/>
      <c r="AQ138" s="566"/>
      <c r="AR138" s="567"/>
      <c r="AS138" s="336">
        <f>AVERAGE(AS128:AS137)</f>
        <v>0.33735555555555563</v>
      </c>
      <c r="AT138" s="51"/>
      <c r="AU138" s="342"/>
      <c r="AV138" s="342"/>
      <c r="AW138" s="72"/>
      <c r="AX138" s="341"/>
      <c r="AY138" s="341"/>
      <c r="AZ138" s="342"/>
      <c r="BA138" s="342"/>
      <c r="BB138" s="130"/>
      <c r="BC138" s="342"/>
      <c r="BD138" s="676"/>
      <c r="BE138" s="676"/>
      <c r="BF138" s="679"/>
      <c r="BG138" s="342"/>
    </row>
    <row r="139" spans="1:61" s="14" customFormat="1" ht="126.75" customHeight="1" x14ac:dyDescent="0.35">
      <c r="A139" s="536"/>
      <c r="B139" s="461"/>
      <c r="C139" s="26"/>
      <c r="D139" s="26"/>
      <c r="E139" s="26"/>
      <c r="F139" s="389"/>
      <c r="G139" s="389"/>
      <c r="H139" s="389"/>
      <c r="I139" s="389"/>
      <c r="J139" s="462" t="s">
        <v>372</v>
      </c>
      <c r="K139" s="276" t="s">
        <v>373</v>
      </c>
      <c r="L139" s="132" t="s">
        <v>374</v>
      </c>
      <c r="M139" s="323" t="s">
        <v>375</v>
      </c>
      <c r="N139" s="276" t="s">
        <v>375</v>
      </c>
      <c r="O139" s="353">
        <f>17600*4</f>
        <v>70400</v>
      </c>
      <c r="P139" s="353">
        <v>17600</v>
      </c>
      <c r="Q139" s="353">
        <v>14423</v>
      </c>
      <c r="R139" s="353">
        <v>17600</v>
      </c>
      <c r="S139" s="354">
        <v>3809</v>
      </c>
      <c r="T139" s="353">
        <v>4103</v>
      </c>
      <c r="U139" s="353">
        <v>7912</v>
      </c>
      <c r="V139" s="353">
        <v>12210</v>
      </c>
      <c r="W139" s="353"/>
      <c r="X139" s="353">
        <v>17600</v>
      </c>
      <c r="Y139" s="353">
        <v>28723</v>
      </c>
      <c r="Z139" s="353">
        <v>3906</v>
      </c>
      <c r="AA139" s="353">
        <v>2819</v>
      </c>
      <c r="AB139" s="353">
        <f>+AA139+Z139</f>
        <v>6725</v>
      </c>
      <c r="AC139" s="362">
        <f>+AB139/X139</f>
        <v>0.38210227272727271</v>
      </c>
      <c r="AD139" s="353">
        <f>+AB139+Y139</f>
        <v>35448</v>
      </c>
      <c r="AE139" s="362">
        <f>+AD139/O139</f>
        <v>0.50352272727272729</v>
      </c>
      <c r="AF139" s="589" t="s">
        <v>376</v>
      </c>
      <c r="AG139" s="647">
        <v>2020130010124</v>
      </c>
      <c r="AH139" s="611" t="s">
        <v>377</v>
      </c>
      <c r="AI139" s="133" t="s">
        <v>669</v>
      </c>
      <c r="AJ139" s="353">
        <v>17600</v>
      </c>
      <c r="AK139" s="353" t="s">
        <v>503</v>
      </c>
      <c r="AL139" s="353">
        <v>365</v>
      </c>
      <c r="AM139" s="353">
        <v>17600</v>
      </c>
      <c r="AN139" s="135"/>
      <c r="AO139" s="135"/>
      <c r="AP139" s="135">
        <v>3906</v>
      </c>
      <c r="AQ139" s="448">
        <v>0.24</v>
      </c>
      <c r="AR139" s="135">
        <v>2819</v>
      </c>
      <c r="AS139" s="361">
        <f>+(AP139+AR139)/AJ139</f>
        <v>0.38210227272727271</v>
      </c>
      <c r="AT139" s="85" t="s">
        <v>140</v>
      </c>
      <c r="AU139" s="85" t="s">
        <v>378</v>
      </c>
      <c r="AV139" s="85" t="s">
        <v>613</v>
      </c>
      <c r="AW139" s="134">
        <v>540800000</v>
      </c>
      <c r="AX139" s="133" t="s">
        <v>532</v>
      </c>
      <c r="AY139" s="133" t="s">
        <v>575</v>
      </c>
      <c r="AZ139" s="62" t="s">
        <v>574</v>
      </c>
      <c r="BA139" s="62" t="s">
        <v>515</v>
      </c>
      <c r="BB139" s="135" t="s">
        <v>671</v>
      </c>
      <c r="BC139" s="192"/>
      <c r="BD139" s="668">
        <v>2971521808</v>
      </c>
      <c r="BE139" s="668">
        <v>1397125780</v>
      </c>
      <c r="BF139" s="677">
        <f>+BE139/BD139</f>
        <v>0.47017180767061023</v>
      </c>
      <c r="BG139" s="85" t="s">
        <v>705</v>
      </c>
    </row>
    <row r="140" spans="1:61" s="14" customFormat="1" ht="77.25" customHeight="1" x14ac:dyDescent="0.35">
      <c r="A140" s="536"/>
      <c r="B140" s="461"/>
      <c r="C140" s="26"/>
      <c r="D140" s="26"/>
      <c r="E140" s="26"/>
      <c r="F140" s="389"/>
      <c r="G140" s="389"/>
      <c r="H140" s="389"/>
      <c r="I140" s="389"/>
      <c r="J140" s="463"/>
      <c r="K140" s="276" t="s">
        <v>379</v>
      </c>
      <c r="L140" s="132" t="s">
        <v>380</v>
      </c>
      <c r="M140" s="323" t="s">
        <v>381</v>
      </c>
      <c r="N140" s="276" t="s">
        <v>381</v>
      </c>
      <c r="O140" s="353">
        <f>17700*4</f>
        <v>70800</v>
      </c>
      <c r="P140" s="353">
        <v>17700</v>
      </c>
      <c r="Q140" s="353">
        <v>16099</v>
      </c>
      <c r="R140" s="353">
        <v>17700</v>
      </c>
      <c r="S140" s="354">
        <v>4343</v>
      </c>
      <c r="T140" s="353">
        <v>3277</v>
      </c>
      <c r="U140" s="353">
        <v>7620</v>
      </c>
      <c r="V140" s="353">
        <v>12802</v>
      </c>
      <c r="W140" s="353"/>
      <c r="X140" s="353">
        <v>17700</v>
      </c>
      <c r="Y140" s="353">
        <v>31172</v>
      </c>
      <c r="Z140" s="353">
        <v>4320</v>
      </c>
      <c r="AA140" s="353">
        <v>2627</v>
      </c>
      <c r="AB140" s="353">
        <f>+AA140+Z140</f>
        <v>6947</v>
      </c>
      <c r="AC140" s="362">
        <f>+AB140/X140</f>
        <v>0.39248587570621468</v>
      </c>
      <c r="AD140" s="353">
        <f>+AB140+Y140</f>
        <v>38119</v>
      </c>
      <c r="AE140" s="362">
        <f>+AD140/O140</f>
        <v>0.53840395480225989</v>
      </c>
      <c r="AF140" s="590"/>
      <c r="AG140" s="648"/>
      <c r="AH140" s="612"/>
      <c r="AI140" s="133" t="s">
        <v>670</v>
      </c>
      <c r="AJ140" s="353">
        <v>17700</v>
      </c>
      <c r="AK140" s="353" t="s">
        <v>503</v>
      </c>
      <c r="AL140" s="353">
        <v>365</v>
      </c>
      <c r="AM140" s="353">
        <v>17700</v>
      </c>
      <c r="AN140" s="135"/>
      <c r="AO140" s="135"/>
      <c r="AP140" s="135">
        <v>4320</v>
      </c>
      <c r="AQ140" s="135" t="s">
        <v>706</v>
      </c>
      <c r="AR140" s="135">
        <v>2627</v>
      </c>
      <c r="AS140" s="361">
        <f t="shared" ref="AS140:AS141" si="11">+(AP140+AR140)/AJ140</f>
        <v>0.39248587570621468</v>
      </c>
      <c r="AT140" s="85" t="s">
        <v>140</v>
      </c>
      <c r="AU140" s="85" t="s">
        <v>378</v>
      </c>
      <c r="AV140" s="85"/>
      <c r="AW140" s="134"/>
      <c r="AX140" s="133"/>
      <c r="AY140" s="133"/>
      <c r="AZ140" s="62"/>
      <c r="BA140" s="62" t="s">
        <v>515</v>
      </c>
      <c r="BB140" s="135" t="s">
        <v>671</v>
      </c>
      <c r="BC140" s="62"/>
      <c r="BD140" s="669"/>
      <c r="BE140" s="669"/>
      <c r="BF140" s="678"/>
      <c r="BG140" s="85" t="s">
        <v>705</v>
      </c>
    </row>
    <row r="141" spans="1:61" s="14" customFormat="1" ht="139.5" customHeight="1" x14ac:dyDescent="0.35">
      <c r="A141" s="536"/>
      <c r="B141" s="461"/>
      <c r="C141" s="26"/>
      <c r="D141" s="26"/>
      <c r="E141" s="26"/>
      <c r="F141" s="389"/>
      <c r="G141" s="389"/>
      <c r="H141" s="389"/>
      <c r="I141" s="389"/>
      <c r="J141" s="463"/>
      <c r="K141" s="276" t="s">
        <v>382</v>
      </c>
      <c r="L141" s="276" t="s">
        <v>383</v>
      </c>
      <c r="M141" s="323" t="s">
        <v>384</v>
      </c>
      <c r="N141" s="276" t="s">
        <v>384</v>
      </c>
      <c r="O141" s="353">
        <f>70*4</f>
        <v>280</v>
      </c>
      <c r="P141" s="353">
        <v>70</v>
      </c>
      <c r="Q141" s="353">
        <v>70</v>
      </c>
      <c r="R141" s="353">
        <v>70</v>
      </c>
      <c r="S141" s="354">
        <v>13</v>
      </c>
      <c r="T141" s="353">
        <v>29</v>
      </c>
      <c r="U141" s="353">
        <v>35</v>
      </c>
      <c r="V141" s="353">
        <v>0</v>
      </c>
      <c r="W141" s="353"/>
      <c r="X141" s="353">
        <v>70</v>
      </c>
      <c r="Y141" s="353">
        <v>147</v>
      </c>
      <c r="Z141" s="353">
        <v>14</v>
      </c>
      <c r="AA141" s="353">
        <v>33</v>
      </c>
      <c r="AB141" s="353">
        <f>+AA141+Z141</f>
        <v>47</v>
      </c>
      <c r="AC141" s="361">
        <f>+AB141/X141</f>
        <v>0.67142857142857137</v>
      </c>
      <c r="AD141" s="353">
        <f>+AB141+Y141</f>
        <v>194</v>
      </c>
      <c r="AE141" s="361">
        <f>+AD141/O141</f>
        <v>0.69285714285714284</v>
      </c>
      <c r="AF141" s="590"/>
      <c r="AG141" s="649"/>
      <c r="AH141" s="613"/>
      <c r="AI141" s="133" t="s">
        <v>385</v>
      </c>
      <c r="AJ141" s="353">
        <v>70</v>
      </c>
      <c r="AK141" s="353" t="s">
        <v>503</v>
      </c>
      <c r="AL141" s="353">
        <v>365</v>
      </c>
      <c r="AM141" s="353">
        <v>70</v>
      </c>
      <c r="AN141" s="135"/>
      <c r="AO141" s="135"/>
      <c r="AP141" s="135">
        <v>14</v>
      </c>
      <c r="AQ141" s="448">
        <v>0.2</v>
      </c>
      <c r="AR141" s="135">
        <v>33</v>
      </c>
      <c r="AS141" s="361">
        <f t="shared" si="11"/>
        <v>0.67142857142857137</v>
      </c>
      <c r="AT141" s="85" t="s">
        <v>140</v>
      </c>
      <c r="AU141" s="85" t="s">
        <v>378</v>
      </c>
      <c r="AV141" s="85"/>
      <c r="AW141" s="134"/>
      <c r="AX141" s="133"/>
      <c r="AY141" s="133"/>
      <c r="AZ141" s="62"/>
      <c r="BA141" s="62" t="s">
        <v>515</v>
      </c>
      <c r="BB141" s="135" t="s">
        <v>608</v>
      </c>
      <c r="BC141" s="62"/>
      <c r="BD141" s="669"/>
      <c r="BE141" s="669"/>
      <c r="BF141" s="678"/>
      <c r="BG141" s="85" t="s">
        <v>705</v>
      </c>
    </row>
    <row r="142" spans="1:61" s="6" customFormat="1" ht="50.25" customHeight="1" x14ac:dyDescent="0.35">
      <c r="A142" s="536"/>
      <c r="B142" s="461"/>
      <c r="C142" s="34"/>
      <c r="D142" s="34"/>
      <c r="E142" s="34"/>
      <c r="F142" s="390"/>
      <c r="G142" s="390"/>
      <c r="H142" s="390"/>
      <c r="I142" s="390"/>
      <c r="J142" s="463"/>
      <c r="K142" s="398"/>
      <c r="L142" s="398"/>
      <c r="M142" s="399"/>
      <c r="N142" s="398"/>
      <c r="O142" s="400"/>
      <c r="P142" s="400"/>
      <c r="Q142" s="400"/>
      <c r="R142" s="400"/>
      <c r="S142" s="400"/>
      <c r="T142" s="400"/>
      <c r="U142" s="400"/>
      <c r="V142" s="400"/>
      <c r="W142" s="400"/>
      <c r="X142" s="400"/>
      <c r="Y142" s="400"/>
      <c r="Z142" s="400"/>
      <c r="AA142" s="400"/>
      <c r="AB142" s="400"/>
      <c r="AC142" s="400"/>
      <c r="AD142" s="400"/>
      <c r="AE142" s="400"/>
      <c r="AF142" s="591"/>
      <c r="AG142" s="603" t="s">
        <v>376</v>
      </c>
      <c r="AH142" s="604"/>
      <c r="AI142" s="604"/>
      <c r="AJ142" s="604"/>
      <c r="AK142" s="604"/>
      <c r="AL142" s="604"/>
      <c r="AM142" s="604"/>
      <c r="AN142" s="604"/>
      <c r="AO142" s="604"/>
      <c r="AP142" s="604"/>
      <c r="AQ142" s="604"/>
      <c r="AR142" s="605"/>
      <c r="AS142" s="344">
        <f>AVERAGE(AS139:AS141)</f>
        <v>0.48200557328735288</v>
      </c>
      <c r="AT142" s="53"/>
      <c r="AU142" s="53"/>
      <c r="AV142" s="53"/>
      <c r="AW142" s="73"/>
      <c r="AX142" s="52"/>
      <c r="AY142" s="52"/>
      <c r="AZ142" s="53"/>
      <c r="BA142" s="53"/>
      <c r="BB142" s="131"/>
      <c r="BC142" s="53"/>
      <c r="BD142" s="669"/>
      <c r="BE142" s="669"/>
      <c r="BF142" s="678"/>
      <c r="BG142" s="53"/>
    </row>
    <row r="143" spans="1:61" s="14" customFormat="1" ht="72.75" customHeight="1" x14ac:dyDescent="0.35">
      <c r="A143" s="536"/>
      <c r="B143" s="461"/>
      <c r="C143" s="26"/>
      <c r="D143" s="26"/>
      <c r="E143" s="26"/>
      <c r="F143" s="389"/>
      <c r="G143" s="389"/>
      <c r="H143" s="389"/>
      <c r="I143" s="389"/>
      <c r="J143" s="463"/>
      <c r="K143" s="90" t="s">
        <v>386</v>
      </c>
      <c r="L143" s="90" t="s">
        <v>673</v>
      </c>
      <c r="M143" s="324" t="s">
        <v>387</v>
      </c>
      <c r="N143" s="90" t="s">
        <v>387</v>
      </c>
      <c r="O143" s="90">
        <v>0.05</v>
      </c>
      <c r="P143" s="90">
        <v>0.05</v>
      </c>
      <c r="Q143" s="90">
        <v>0.03</v>
      </c>
      <c r="R143" s="90">
        <v>0.05</v>
      </c>
      <c r="S143" s="90">
        <v>1</v>
      </c>
      <c r="T143" s="90">
        <v>1.9199999999999998E-2</v>
      </c>
      <c r="U143" s="90">
        <v>9.5000000000000001E-2</v>
      </c>
      <c r="V143" s="90">
        <v>7.8</v>
      </c>
      <c r="W143" s="90"/>
      <c r="X143" s="90">
        <v>0.05</v>
      </c>
      <c r="Y143" s="90">
        <v>7.8</v>
      </c>
      <c r="Z143" s="90" t="s">
        <v>805</v>
      </c>
      <c r="AA143" s="90" t="s">
        <v>805</v>
      </c>
      <c r="AB143" s="90" t="str">
        <f>+AA143</f>
        <v>&lt;0,05</v>
      </c>
      <c r="AC143" s="308">
        <v>0.5</v>
      </c>
      <c r="AD143" s="90" t="str">
        <f>+AB143</f>
        <v>&lt;0,05</v>
      </c>
      <c r="AE143" s="309">
        <v>0.375</v>
      </c>
      <c r="AF143" s="615" t="s">
        <v>388</v>
      </c>
      <c r="AG143" s="653">
        <v>2020130010164</v>
      </c>
      <c r="AH143" s="656" t="s">
        <v>389</v>
      </c>
      <c r="AI143" s="91" t="s">
        <v>672</v>
      </c>
      <c r="AJ143" s="185">
        <v>1</v>
      </c>
      <c r="AK143" s="184" t="s">
        <v>503</v>
      </c>
      <c r="AL143" s="184">
        <v>365</v>
      </c>
      <c r="AM143" s="185">
        <v>1</v>
      </c>
      <c r="AN143" s="446"/>
      <c r="AO143" s="446"/>
      <c r="AP143" s="184">
        <v>6</v>
      </c>
      <c r="AQ143" s="185">
        <v>0.25</v>
      </c>
      <c r="AR143" s="96">
        <v>5</v>
      </c>
      <c r="AS143" s="185">
        <v>0.5</v>
      </c>
      <c r="AT143" s="92" t="s">
        <v>140</v>
      </c>
      <c r="AU143" s="92" t="s">
        <v>178</v>
      </c>
      <c r="AV143" s="92" t="s">
        <v>607</v>
      </c>
      <c r="AW143" s="94">
        <v>629512436</v>
      </c>
      <c r="AX143" s="93" t="s">
        <v>539</v>
      </c>
      <c r="AY143" s="93" t="s">
        <v>577</v>
      </c>
      <c r="AZ143" s="92" t="s">
        <v>576</v>
      </c>
      <c r="BA143" s="92" t="s">
        <v>515</v>
      </c>
      <c r="BB143" s="124" t="s">
        <v>608</v>
      </c>
      <c r="BC143" s="92"/>
      <c r="BD143" s="669"/>
      <c r="BE143" s="669"/>
      <c r="BF143" s="678"/>
      <c r="BG143" s="221" t="s">
        <v>782</v>
      </c>
    </row>
    <row r="144" spans="1:61" s="14" customFormat="1" ht="96" customHeight="1" x14ac:dyDescent="0.35">
      <c r="A144" s="536"/>
      <c r="B144" s="461"/>
      <c r="C144" s="26"/>
      <c r="D144" s="26"/>
      <c r="E144" s="26"/>
      <c r="F144" s="389"/>
      <c r="G144" s="389"/>
      <c r="H144" s="389"/>
      <c r="I144" s="389"/>
      <c r="J144" s="463"/>
      <c r="K144" s="466" t="s">
        <v>390</v>
      </c>
      <c r="L144" s="466" t="s">
        <v>391</v>
      </c>
      <c r="M144" s="467" t="s">
        <v>392</v>
      </c>
      <c r="N144" s="90" t="s">
        <v>392</v>
      </c>
      <c r="O144" s="460">
        <v>1</v>
      </c>
      <c r="P144" s="184">
        <v>0.25</v>
      </c>
      <c r="Q144" s="184">
        <v>0.25</v>
      </c>
      <c r="R144" s="184">
        <v>0.25</v>
      </c>
      <c r="S144" s="184">
        <v>0.04</v>
      </c>
      <c r="T144" s="184">
        <v>0.125</v>
      </c>
      <c r="U144" s="184">
        <v>0.18</v>
      </c>
      <c r="V144" s="184">
        <v>0.22</v>
      </c>
      <c r="W144" s="184"/>
      <c r="X144" s="460">
        <v>0.25</v>
      </c>
      <c r="Y144" s="460">
        <v>1</v>
      </c>
      <c r="Z144" s="460">
        <f>0.25*0.25</f>
        <v>6.25E-2</v>
      </c>
      <c r="AA144" s="460">
        <f>0.21*0.25</f>
        <v>5.2499999999999998E-2</v>
      </c>
      <c r="AB144" s="460">
        <f>+AA144+Z144</f>
        <v>0.11499999999999999</v>
      </c>
      <c r="AC144" s="526">
        <v>0.115</v>
      </c>
      <c r="AD144" s="460">
        <v>1</v>
      </c>
      <c r="AE144" s="531">
        <v>1</v>
      </c>
      <c r="AF144" s="616"/>
      <c r="AG144" s="654"/>
      <c r="AH144" s="657"/>
      <c r="AI144" s="91" t="s">
        <v>393</v>
      </c>
      <c r="AJ144" s="185">
        <v>1</v>
      </c>
      <c r="AK144" s="184" t="s">
        <v>503</v>
      </c>
      <c r="AL144" s="184">
        <v>365</v>
      </c>
      <c r="AM144" s="185">
        <v>1</v>
      </c>
      <c r="AN144" s="446"/>
      <c r="AO144" s="446"/>
      <c r="AP144" s="184">
        <v>0</v>
      </c>
      <c r="AQ144" s="185">
        <v>0</v>
      </c>
      <c r="AR144" s="96">
        <v>0</v>
      </c>
      <c r="AS144" s="185">
        <v>0</v>
      </c>
      <c r="AT144" s="92" t="s">
        <v>140</v>
      </c>
      <c r="AU144" s="92" t="s">
        <v>178</v>
      </c>
      <c r="AV144" s="92" t="s">
        <v>613</v>
      </c>
      <c r="AW144" s="94">
        <v>808197817</v>
      </c>
      <c r="AX144" s="93" t="s">
        <v>532</v>
      </c>
      <c r="AY144" s="93" t="s">
        <v>577</v>
      </c>
      <c r="AZ144" s="92" t="s">
        <v>576</v>
      </c>
      <c r="BA144" s="92" t="s">
        <v>515</v>
      </c>
      <c r="BB144" s="124" t="s">
        <v>611</v>
      </c>
      <c r="BC144" s="92"/>
      <c r="BD144" s="669"/>
      <c r="BE144" s="669"/>
      <c r="BF144" s="678"/>
      <c r="BG144" s="222" t="s">
        <v>783</v>
      </c>
    </row>
    <row r="145" spans="1:59" s="14" customFormat="1" ht="75.75" customHeight="1" x14ac:dyDescent="0.35">
      <c r="A145" s="536"/>
      <c r="B145" s="461"/>
      <c r="C145" s="26"/>
      <c r="D145" s="26"/>
      <c r="E145" s="26"/>
      <c r="F145" s="389"/>
      <c r="G145" s="389"/>
      <c r="H145" s="389"/>
      <c r="I145" s="389"/>
      <c r="J145" s="463"/>
      <c r="K145" s="466"/>
      <c r="L145" s="466"/>
      <c r="M145" s="467"/>
      <c r="N145" s="90"/>
      <c r="O145" s="460"/>
      <c r="P145" s="184"/>
      <c r="Q145" s="184"/>
      <c r="R145" s="184"/>
      <c r="S145" s="184"/>
      <c r="T145" s="184"/>
      <c r="U145" s="184"/>
      <c r="V145" s="184"/>
      <c r="W145" s="184"/>
      <c r="X145" s="460"/>
      <c r="Y145" s="460"/>
      <c r="Z145" s="460"/>
      <c r="AA145" s="460"/>
      <c r="AB145" s="460"/>
      <c r="AC145" s="460"/>
      <c r="AD145" s="460"/>
      <c r="AE145" s="460"/>
      <c r="AF145" s="616"/>
      <c r="AG145" s="654"/>
      <c r="AH145" s="657"/>
      <c r="AI145" s="659" t="s">
        <v>394</v>
      </c>
      <c r="AJ145" s="623">
        <v>0.7</v>
      </c>
      <c r="AK145" s="662" t="s">
        <v>503</v>
      </c>
      <c r="AL145" s="662">
        <v>365</v>
      </c>
      <c r="AM145" s="623">
        <v>0.7</v>
      </c>
      <c r="AN145" s="446"/>
      <c r="AO145" s="446"/>
      <c r="AP145" s="615" t="s">
        <v>821</v>
      </c>
      <c r="AQ145" s="665">
        <v>0.26666666666666666</v>
      </c>
      <c r="AR145" s="620" t="s">
        <v>822</v>
      </c>
      <c r="AS145" s="623">
        <v>0.57333333333333336</v>
      </c>
      <c r="AT145" s="92" t="s">
        <v>140</v>
      </c>
      <c r="AU145" s="92" t="s">
        <v>178</v>
      </c>
      <c r="AV145" s="92"/>
      <c r="AW145" s="94"/>
      <c r="AX145" s="93"/>
      <c r="AY145" s="93"/>
      <c r="AZ145" s="92"/>
      <c r="BA145" s="92" t="s">
        <v>515</v>
      </c>
      <c r="BB145" s="124" t="s">
        <v>608</v>
      </c>
      <c r="BC145" s="92"/>
      <c r="BD145" s="669"/>
      <c r="BE145" s="669"/>
      <c r="BF145" s="678"/>
      <c r="BG145" s="221" t="s">
        <v>782</v>
      </c>
    </row>
    <row r="146" spans="1:59" s="6" customFormat="1" ht="15" customHeight="1" x14ac:dyDescent="0.35">
      <c r="A146" s="536"/>
      <c r="B146" s="461"/>
      <c r="C146" s="34"/>
      <c r="D146" s="34"/>
      <c r="E146" s="34"/>
      <c r="F146" s="390"/>
      <c r="G146" s="390"/>
      <c r="H146" s="390"/>
      <c r="I146" s="390"/>
      <c r="J146" s="463"/>
      <c r="K146" s="466"/>
      <c r="L146" s="466"/>
      <c r="M146" s="467"/>
      <c r="N146" s="401"/>
      <c r="O146" s="460"/>
      <c r="P146" s="355"/>
      <c r="Q146" s="355"/>
      <c r="R146" s="355"/>
      <c r="S146" s="355"/>
      <c r="T146" s="355"/>
      <c r="U146" s="355"/>
      <c r="V146" s="355"/>
      <c r="W146" s="355"/>
      <c r="X146" s="460"/>
      <c r="Y146" s="460"/>
      <c r="Z146" s="460"/>
      <c r="AA146" s="460"/>
      <c r="AB146" s="460"/>
      <c r="AC146" s="460"/>
      <c r="AD146" s="460"/>
      <c r="AE146" s="460"/>
      <c r="AF146" s="616"/>
      <c r="AG146" s="654"/>
      <c r="AH146" s="657"/>
      <c r="AI146" s="660"/>
      <c r="AJ146" s="624"/>
      <c r="AK146" s="663"/>
      <c r="AL146" s="663"/>
      <c r="AM146" s="624"/>
      <c r="AN146" s="355"/>
      <c r="AO146" s="355"/>
      <c r="AP146" s="616"/>
      <c r="AQ146" s="666"/>
      <c r="AR146" s="621"/>
      <c r="AS146" s="624"/>
      <c r="AT146" s="48"/>
      <c r="AU146" s="49"/>
      <c r="AV146" s="49"/>
      <c r="AW146" s="71"/>
      <c r="AX146" s="75"/>
      <c r="AY146" s="75"/>
      <c r="AZ146" s="49"/>
      <c r="BA146" s="49"/>
      <c r="BB146" s="125"/>
      <c r="BC146" s="49"/>
      <c r="BD146" s="669"/>
      <c r="BE146" s="669"/>
      <c r="BF146" s="678"/>
      <c r="BG146" s="49"/>
    </row>
    <row r="147" spans="1:59" s="6" customFormat="1" ht="15" customHeight="1" x14ac:dyDescent="0.35">
      <c r="A147" s="536"/>
      <c r="B147" s="461"/>
      <c r="C147" s="34"/>
      <c r="D147" s="34"/>
      <c r="E147" s="34"/>
      <c r="F147" s="390"/>
      <c r="G147" s="390"/>
      <c r="H147" s="390"/>
      <c r="I147" s="390"/>
      <c r="J147" s="463"/>
      <c r="K147" s="466"/>
      <c r="L147" s="466"/>
      <c r="M147" s="467"/>
      <c r="N147" s="401"/>
      <c r="O147" s="460"/>
      <c r="P147" s="355"/>
      <c r="Q147" s="355"/>
      <c r="R147" s="355"/>
      <c r="S147" s="355"/>
      <c r="T147" s="355"/>
      <c r="U147" s="355"/>
      <c r="V147" s="355"/>
      <c r="W147" s="355"/>
      <c r="X147" s="460"/>
      <c r="Y147" s="460"/>
      <c r="Z147" s="460"/>
      <c r="AA147" s="460"/>
      <c r="AB147" s="460"/>
      <c r="AC147" s="460"/>
      <c r="AD147" s="460"/>
      <c r="AE147" s="460"/>
      <c r="AF147" s="616"/>
      <c r="AG147" s="655"/>
      <c r="AH147" s="658"/>
      <c r="AI147" s="661"/>
      <c r="AJ147" s="625"/>
      <c r="AK147" s="664"/>
      <c r="AL147" s="664"/>
      <c r="AM147" s="625"/>
      <c r="AN147" s="355"/>
      <c r="AO147" s="355"/>
      <c r="AP147" s="617"/>
      <c r="AQ147" s="667"/>
      <c r="AR147" s="622"/>
      <c r="AS147" s="625"/>
      <c r="AT147" s="48"/>
      <c r="AU147" s="49"/>
      <c r="AV147" s="49"/>
      <c r="AW147" s="71"/>
      <c r="AX147" s="75"/>
      <c r="AY147" s="75"/>
      <c r="AZ147" s="49"/>
      <c r="BA147" s="49"/>
      <c r="BB147" s="125"/>
      <c r="BC147" s="49"/>
      <c r="BD147" s="669"/>
      <c r="BE147" s="669"/>
      <c r="BF147" s="678"/>
      <c r="BG147" s="49"/>
    </row>
    <row r="148" spans="1:59" s="6" customFormat="1" ht="57.75" customHeight="1" x14ac:dyDescent="0.7">
      <c r="A148" s="536"/>
      <c r="B148" s="461"/>
      <c r="C148" s="34"/>
      <c r="D148" s="34"/>
      <c r="E148" s="34"/>
      <c r="F148" s="390"/>
      <c r="G148" s="390"/>
      <c r="H148" s="390"/>
      <c r="I148" s="390"/>
      <c r="J148" s="463"/>
      <c r="K148" s="466"/>
      <c r="L148" s="466"/>
      <c r="M148" s="467"/>
      <c r="N148" s="401"/>
      <c r="O148" s="460"/>
      <c r="P148" s="355"/>
      <c r="Q148" s="355"/>
      <c r="R148" s="355"/>
      <c r="S148" s="355"/>
      <c r="T148" s="355"/>
      <c r="U148" s="355"/>
      <c r="V148" s="355"/>
      <c r="W148" s="355"/>
      <c r="X148" s="460"/>
      <c r="Y148" s="460"/>
      <c r="Z148" s="460"/>
      <c r="AA148" s="460"/>
      <c r="AB148" s="460"/>
      <c r="AC148" s="460"/>
      <c r="AD148" s="460"/>
      <c r="AE148" s="460"/>
      <c r="AF148" s="617"/>
      <c r="AG148" s="650" t="s">
        <v>388</v>
      </c>
      <c r="AH148" s="651"/>
      <c r="AI148" s="651"/>
      <c r="AJ148" s="651"/>
      <c r="AK148" s="651"/>
      <c r="AL148" s="651"/>
      <c r="AM148" s="651"/>
      <c r="AN148" s="651"/>
      <c r="AO148" s="651"/>
      <c r="AP148" s="651"/>
      <c r="AQ148" s="651"/>
      <c r="AR148" s="652"/>
      <c r="AS148" s="449">
        <f>AVERAGE(AS143:AS147)</f>
        <v>0.35777777777777775</v>
      </c>
      <c r="AT148" s="48"/>
      <c r="AU148" s="49"/>
      <c r="AV148" s="49"/>
      <c r="AW148" s="71"/>
      <c r="AX148" s="75"/>
      <c r="AY148" s="75"/>
      <c r="AZ148" s="49"/>
      <c r="BA148" s="49"/>
      <c r="BB148" s="125"/>
      <c r="BC148" s="49"/>
      <c r="BD148" s="669"/>
      <c r="BE148" s="669"/>
      <c r="BF148" s="678"/>
      <c r="BG148" s="49"/>
    </row>
    <row r="149" spans="1:59" s="14" customFormat="1" ht="119.25" customHeight="1" x14ac:dyDescent="0.35">
      <c r="A149" s="536"/>
      <c r="B149" s="461"/>
      <c r="C149" s="26"/>
      <c r="D149" s="26"/>
      <c r="E149" s="26"/>
      <c r="F149" s="389"/>
      <c r="G149" s="389"/>
      <c r="H149" s="389"/>
      <c r="I149" s="389"/>
      <c r="J149" s="463"/>
      <c r="K149" s="136" t="s">
        <v>395</v>
      </c>
      <c r="L149" s="136" t="s">
        <v>396</v>
      </c>
      <c r="M149" s="327" t="s">
        <v>397</v>
      </c>
      <c r="N149" s="136" t="s">
        <v>397</v>
      </c>
      <c r="O149" s="193">
        <v>40</v>
      </c>
      <c r="P149" s="193">
        <v>10</v>
      </c>
      <c r="Q149" s="193">
        <v>10</v>
      </c>
      <c r="R149" s="193">
        <v>10</v>
      </c>
      <c r="S149" s="193">
        <v>1</v>
      </c>
      <c r="T149" s="193">
        <v>5</v>
      </c>
      <c r="U149" s="193">
        <v>4</v>
      </c>
      <c r="V149" s="193">
        <v>0</v>
      </c>
      <c r="W149" s="193"/>
      <c r="X149" s="193">
        <v>10</v>
      </c>
      <c r="Y149" s="193">
        <v>20</v>
      </c>
      <c r="Z149" s="193">
        <v>5</v>
      </c>
      <c r="AA149" s="193">
        <v>3</v>
      </c>
      <c r="AB149" s="193">
        <f>+AA149+Z149</f>
        <v>8</v>
      </c>
      <c r="AC149" s="194">
        <f>+AB149/X149</f>
        <v>0.8</v>
      </c>
      <c r="AD149" s="193">
        <f>+AB149+Y149</f>
        <v>28</v>
      </c>
      <c r="AE149" s="194">
        <f>+AD149/O149</f>
        <v>0.7</v>
      </c>
      <c r="AF149" s="689" t="s">
        <v>398</v>
      </c>
      <c r="AG149" s="692">
        <v>2020130010173</v>
      </c>
      <c r="AH149" s="689" t="s">
        <v>399</v>
      </c>
      <c r="AI149" s="137" t="s">
        <v>400</v>
      </c>
      <c r="AJ149" s="193">
        <v>10</v>
      </c>
      <c r="AK149" s="193" t="s">
        <v>503</v>
      </c>
      <c r="AL149" s="193">
        <v>365</v>
      </c>
      <c r="AM149" s="193">
        <v>10</v>
      </c>
      <c r="AN149" s="450"/>
      <c r="AO149" s="450"/>
      <c r="AP149" s="193">
        <v>5</v>
      </c>
      <c r="AQ149" s="194">
        <f>+AP149/AM149</f>
        <v>0.5</v>
      </c>
      <c r="AR149" s="223">
        <v>3</v>
      </c>
      <c r="AS149" s="194">
        <v>0.8</v>
      </c>
      <c r="AT149" s="138" t="s">
        <v>140</v>
      </c>
      <c r="AU149" s="138" t="s">
        <v>401</v>
      </c>
      <c r="AV149" s="138" t="s">
        <v>613</v>
      </c>
      <c r="AW149" s="139">
        <v>292240000</v>
      </c>
      <c r="AX149" s="140" t="s">
        <v>532</v>
      </c>
      <c r="AY149" s="140" t="s">
        <v>579</v>
      </c>
      <c r="AZ149" s="138" t="s">
        <v>578</v>
      </c>
      <c r="BA149" s="138" t="s">
        <v>515</v>
      </c>
      <c r="BB149" s="141" t="s">
        <v>608</v>
      </c>
      <c r="BC149" s="138"/>
      <c r="BD149" s="669"/>
      <c r="BE149" s="669"/>
      <c r="BF149" s="678"/>
      <c r="BG149" s="138" t="s">
        <v>784</v>
      </c>
    </row>
    <row r="150" spans="1:59" s="14" customFormat="1" ht="107.25" customHeight="1" x14ac:dyDescent="0.35">
      <c r="A150" s="536"/>
      <c r="B150" s="461"/>
      <c r="C150" s="26"/>
      <c r="D150" s="26"/>
      <c r="E150" s="26"/>
      <c r="F150" s="389"/>
      <c r="G150" s="389"/>
      <c r="H150" s="389"/>
      <c r="I150" s="389"/>
      <c r="J150" s="463"/>
      <c r="K150" s="136" t="s">
        <v>402</v>
      </c>
      <c r="L150" s="136" t="s">
        <v>403</v>
      </c>
      <c r="M150" s="327" t="s">
        <v>404</v>
      </c>
      <c r="N150" s="136" t="s">
        <v>404</v>
      </c>
      <c r="O150" s="136" t="s">
        <v>405</v>
      </c>
      <c r="P150" s="136" t="s">
        <v>406</v>
      </c>
      <c r="Q150" s="136" t="s">
        <v>407</v>
      </c>
      <c r="R150" s="136" t="s">
        <v>405</v>
      </c>
      <c r="S150" s="136">
        <v>0</v>
      </c>
      <c r="T150" s="136" t="s">
        <v>408</v>
      </c>
      <c r="U150" s="136" t="s">
        <v>409</v>
      </c>
      <c r="V150" s="136" t="s">
        <v>410</v>
      </c>
      <c r="W150" s="136"/>
      <c r="X150" s="136" t="s">
        <v>405</v>
      </c>
      <c r="Y150" s="136" t="s">
        <v>707</v>
      </c>
      <c r="Z150" s="136" t="s">
        <v>707</v>
      </c>
      <c r="AA150" s="136" t="s">
        <v>785</v>
      </c>
      <c r="AB150" s="136" t="s">
        <v>707</v>
      </c>
      <c r="AC150" s="363">
        <v>0.5</v>
      </c>
      <c r="AD150" s="136" t="str">
        <f>+AB150</f>
        <v xml:space="preserve">28 x 100.000 </v>
      </c>
      <c r="AE150" s="364">
        <v>0.65300000000000002</v>
      </c>
      <c r="AF150" s="690"/>
      <c r="AG150" s="693"/>
      <c r="AH150" s="690"/>
      <c r="AI150" s="137" t="s">
        <v>674</v>
      </c>
      <c r="AJ150" s="195">
        <v>1</v>
      </c>
      <c r="AK150" s="193" t="s">
        <v>503</v>
      </c>
      <c r="AL150" s="193">
        <v>365</v>
      </c>
      <c r="AM150" s="195">
        <v>1</v>
      </c>
      <c r="AN150" s="450"/>
      <c r="AO150" s="450"/>
      <c r="AP150" s="193">
        <v>0</v>
      </c>
      <c r="AQ150" s="195">
        <v>0</v>
      </c>
      <c r="AR150" s="193">
        <v>3</v>
      </c>
      <c r="AS150" s="195">
        <v>0.5</v>
      </c>
      <c r="AT150" s="138" t="s">
        <v>140</v>
      </c>
      <c r="AU150" s="138" t="s">
        <v>401</v>
      </c>
      <c r="AV150" s="138"/>
      <c r="AW150" s="139"/>
      <c r="AX150" s="140"/>
      <c r="AY150" s="140"/>
      <c r="AZ150" s="138"/>
      <c r="BA150" s="138" t="s">
        <v>515</v>
      </c>
      <c r="BB150" s="141" t="s">
        <v>608</v>
      </c>
      <c r="BC150" s="138"/>
      <c r="BD150" s="669"/>
      <c r="BE150" s="669"/>
      <c r="BF150" s="678"/>
      <c r="BG150" s="138" t="s">
        <v>786</v>
      </c>
    </row>
    <row r="151" spans="1:59" s="14" customFormat="1" ht="100.5" customHeight="1" x14ac:dyDescent="0.35">
      <c r="A151" s="536"/>
      <c r="B151" s="461"/>
      <c r="C151" s="26"/>
      <c r="D151" s="26"/>
      <c r="E151" s="26"/>
      <c r="F151" s="389"/>
      <c r="G151" s="389"/>
      <c r="H151" s="389"/>
      <c r="I151" s="389"/>
      <c r="J151" s="463"/>
      <c r="K151" s="136" t="s">
        <v>411</v>
      </c>
      <c r="L151" s="136" t="s">
        <v>412</v>
      </c>
      <c r="M151" s="327" t="s">
        <v>413</v>
      </c>
      <c r="N151" s="136" t="s">
        <v>413</v>
      </c>
      <c r="O151" s="193">
        <v>600</v>
      </c>
      <c r="P151" s="193">
        <v>150</v>
      </c>
      <c r="Q151" s="193">
        <v>150</v>
      </c>
      <c r="R151" s="193">
        <v>150</v>
      </c>
      <c r="S151" s="193">
        <v>0</v>
      </c>
      <c r="T151" s="193">
        <v>30</v>
      </c>
      <c r="U151" s="193">
        <v>50</v>
      </c>
      <c r="V151" s="193">
        <v>70</v>
      </c>
      <c r="W151" s="193"/>
      <c r="X151" s="193">
        <v>150</v>
      </c>
      <c r="Y151" s="193">
        <v>300</v>
      </c>
      <c r="Z151" s="193">
        <v>0</v>
      </c>
      <c r="AA151" s="193">
        <v>0</v>
      </c>
      <c r="AB151" s="193">
        <v>0</v>
      </c>
      <c r="AC151" s="195">
        <v>0</v>
      </c>
      <c r="AD151" s="193">
        <v>300</v>
      </c>
      <c r="AE151" s="365">
        <v>0.52800000000000002</v>
      </c>
      <c r="AF151" s="690"/>
      <c r="AG151" s="694"/>
      <c r="AH151" s="691"/>
      <c r="AI151" s="137" t="s">
        <v>675</v>
      </c>
      <c r="AJ151" s="193">
        <v>150</v>
      </c>
      <c r="AK151" s="193" t="s">
        <v>503</v>
      </c>
      <c r="AL151" s="193">
        <v>365</v>
      </c>
      <c r="AM151" s="193">
        <v>150</v>
      </c>
      <c r="AN151" s="450"/>
      <c r="AO151" s="450"/>
      <c r="AP151" s="193">
        <v>0</v>
      </c>
      <c r="AQ151" s="195">
        <v>0</v>
      </c>
      <c r="AR151" s="193">
        <v>0</v>
      </c>
      <c r="AS151" s="195">
        <v>0</v>
      </c>
      <c r="AT151" s="138" t="s">
        <v>140</v>
      </c>
      <c r="AU151" s="138" t="s">
        <v>401</v>
      </c>
      <c r="AV151" s="138"/>
      <c r="AW151" s="139"/>
      <c r="AX151" s="140"/>
      <c r="AY151" s="140"/>
      <c r="AZ151" s="138"/>
      <c r="BA151" s="138" t="s">
        <v>515</v>
      </c>
      <c r="BB151" s="138" t="s">
        <v>676</v>
      </c>
      <c r="BC151" s="138"/>
      <c r="BD151" s="669"/>
      <c r="BE151" s="669"/>
      <c r="BF151" s="678"/>
      <c r="BG151" s="196" t="s">
        <v>787</v>
      </c>
    </row>
    <row r="152" spans="1:59" s="14" customFormat="1" ht="100.5" customHeight="1" x14ac:dyDescent="0.35">
      <c r="A152" s="536"/>
      <c r="B152" s="461"/>
      <c r="C152" s="26"/>
      <c r="D152" s="26"/>
      <c r="E152" s="26"/>
      <c r="F152" s="389"/>
      <c r="G152" s="389"/>
      <c r="H152" s="389"/>
      <c r="I152" s="389"/>
      <c r="J152" s="463"/>
      <c r="K152" s="136"/>
      <c r="L152" s="136"/>
      <c r="M152" s="327"/>
      <c r="N152" s="136"/>
      <c r="O152" s="193"/>
      <c r="P152" s="193"/>
      <c r="Q152" s="193"/>
      <c r="R152" s="193"/>
      <c r="S152" s="193"/>
      <c r="T152" s="193"/>
      <c r="U152" s="193"/>
      <c r="V152" s="193"/>
      <c r="W152" s="193"/>
      <c r="X152" s="193"/>
      <c r="Y152" s="193"/>
      <c r="Z152" s="193"/>
      <c r="AA152" s="193"/>
      <c r="AB152" s="193"/>
      <c r="AC152" s="195"/>
      <c r="AD152" s="193"/>
      <c r="AE152" s="365"/>
      <c r="AF152" s="691"/>
      <c r="AG152" s="608" t="s">
        <v>398</v>
      </c>
      <c r="AH152" s="609"/>
      <c r="AI152" s="609"/>
      <c r="AJ152" s="609"/>
      <c r="AK152" s="609"/>
      <c r="AL152" s="609"/>
      <c r="AM152" s="609"/>
      <c r="AN152" s="609"/>
      <c r="AO152" s="609"/>
      <c r="AP152" s="609"/>
      <c r="AQ152" s="609"/>
      <c r="AR152" s="610"/>
      <c r="AS152" s="423">
        <f>AVERAGE(AS149:AS151)</f>
        <v>0.43333333333333335</v>
      </c>
      <c r="AT152" s="138"/>
      <c r="AU152" s="138"/>
      <c r="AV152" s="138"/>
      <c r="AW152" s="139"/>
      <c r="AX152" s="140"/>
      <c r="AY152" s="140"/>
      <c r="AZ152" s="138"/>
      <c r="BA152" s="138"/>
      <c r="BB152" s="138"/>
      <c r="BC152" s="138"/>
      <c r="BD152" s="669"/>
      <c r="BE152" s="669"/>
      <c r="BF152" s="678"/>
      <c r="BG152" s="196"/>
    </row>
    <row r="153" spans="1:59" s="14" customFormat="1" ht="104.25" customHeight="1" x14ac:dyDescent="0.35">
      <c r="A153" s="536"/>
      <c r="B153" s="461"/>
      <c r="C153" s="26"/>
      <c r="D153" s="26"/>
      <c r="E153" s="26"/>
      <c r="F153" s="389"/>
      <c r="G153" s="389"/>
      <c r="H153" s="389"/>
      <c r="I153" s="389"/>
      <c r="J153" s="463"/>
      <c r="K153" s="143" t="s">
        <v>414</v>
      </c>
      <c r="L153" s="144" t="s">
        <v>415</v>
      </c>
      <c r="M153" s="328" t="s">
        <v>416</v>
      </c>
      <c r="N153" s="143" t="s">
        <v>416</v>
      </c>
      <c r="O153" s="143">
        <v>200</v>
      </c>
      <c r="P153" s="143">
        <v>50</v>
      </c>
      <c r="Q153" s="143">
        <v>45</v>
      </c>
      <c r="R153" s="144">
        <v>1</v>
      </c>
      <c r="S153" s="144">
        <v>0.1</v>
      </c>
      <c r="T153" s="144">
        <v>0.5</v>
      </c>
      <c r="U153" s="144">
        <v>0.5</v>
      </c>
      <c r="V153" s="144">
        <v>0.5</v>
      </c>
      <c r="W153" s="144"/>
      <c r="X153" s="366">
        <v>50</v>
      </c>
      <c r="Y153" s="366">
        <v>95</v>
      </c>
      <c r="Z153" s="366">
        <v>0</v>
      </c>
      <c r="AA153" s="366">
        <v>25</v>
      </c>
      <c r="AB153" s="367">
        <f>+AA153</f>
        <v>25</v>
      </c>
      <c r="AC153" s="144">
        <v>0.5</v>
      </c>
      <c r="AD153" s="367">
        <f>+AB153+Y153</f>
        <v>120</v>
      </c>
      <c r="AE153" s="144">
        <f>+AD153/O153</f>
        <v>0.6</v>
      </c>
      <c r="AF153" s="644" t="s">
        <v>417</v>
      </c>
      <c r="AG153" s="527">
        <v>2020130010060</v>
      </c>
      <c r="AH153" s="514" t="s">
        <v>418</v>
      </c>
      <c r="AI153" s="146" t="s">
        <v>677</v>
      </c>
      <c r="AJ153" s="145" t="s">
        <v>681</v>
      </c>
      <c r="AK153" s="145" t="s">
        <v>503</v>
      </c>
      <c r="AL153" s="145">
        <v>365</v>
      </c>
      <c r="AM153" s="145" t="s">
        <v>681</v>
      </c>
      <c r="AN153" s="146"/>
      <c r="AO153" s="146"/>
      <c r="AP153" s="225">
        <v>0.18</v>
      </c>
      <c r="AQ153" s="197">
        <v>0.25</v>
      </c>
      <c r="AR153" s="199">
        <v>0.2</v>
      </c>
      <c r="AS153" s="197">
        <v>0.5</v>
      </c>
      <c r="AT153" s="224" t="s">
        <v>419</v>
      </c>
      <c r="AU153" s="224" t="s">
        <v>420</v>
      </c>
      <c r="AV153" s="224" t="s">
        <v>512</v>
      </c>
      <c r="AW153" s="226">
        <v>159224164</v>
      </c>
      <c r="AX153" s="146" t="s">
        <v>539</v>
      </c>
      <c r="AY153" s="146" t="s">
        <v>573</v>
      </c>
      <c r="AZ153" s="145" t="s">
        <v>572</v>
      </c>
      <c r="BA153" s="145" t="s">
        <v>515</v>
      </c>
      <c r="BB153" s="142" t="s">
        <v>608</v>
      </c>
      <c r="BC153" s="145"/>
      <c r="BD153" s="669"/>
      <c r="BE153" s="669"/>
      <c r="BF153" s="678"/>
      <c r="BG153" s="227" t="s">
        <v>788</v>
      </c>
    </row>
    <row r="154" spans="1:59" s="14" customFormat="1" ht="96.75" customHeight="1" x14ac:dyDescent="0.35">
      <c r="A154" s="536"/>
      <c r="B154" s="461"/>
      <c r="C154" s="26"/>
      <c r="D154" s="26"/>
      <c r="E154" s="26"/>
      <c r="F154" s="389"/>
      <c r="G154" s="389"/>
      <c r="H154" s="389"/>
      <c r="I154" s="389"/>
      <c r="J154" s="463"/>
      <c r="K154" s="143" t="s">
        <v>421</v>
      </c>
      <c r="L154" s="144" t="s">
        <v>422</v>
      </c>
      <c r="M154" s="328" t="s">
        <v>423</v>
      </c>
      <c r="N154" s="143" t="s">
        <v>423</v>
      </c>
      <c r="O154" s="147">
        <v>1</v>
      </c>
      <c r="P154" s="147">
        <v>1</v>
      </c>
      <c r="Q154" s="147">
        <v>1</v>
      </c>
      <c r="R154" s="148">
        <v>1</v>
      </c>
      <c r="S154" s="144">
        <v>0.4</v>
      </c>
      <c r="T154" s="148">
        <v>0.2</v>
      </c>
      <c r="U154" s="148">
        <v>0.25</v>
      </c>
      <c r="V154" s="148">
        <v>0.2</v>
      </c>
      <c r="W154" s="148"/>
      <c r="X154" s="148">
        <v>1</v>
      </c>
      <c r="Y154" s="366">
        <v>1</v>
      </c>
      <c r="Z154" s="148">
        <v>0</v>
      </c>
      <c r="AA154" s="148">
        <v>0</v>
      </c>
      <c r="AB154" s="148">
        <v>0</v>
      </c>
      <c r="AC154" s="148">
        <v>0</v>
      </c>
      <c r="AD154" s="366">
        <v>1</v>
      </c>
      <c r="AE154" s="148">
        <v>1</v>
      </c>
      <c r="AF154" s="645"/>
      <c r="AG154" s="527"/>
      <c r="AH154" s="514"/>
      <c r="AI154" s="146" t="s">
        <v>678</v>
      </c>
      <c r="AJ154" s="152">
        <v>1</v>
      </c>
      <c r="AK154" s="145" t="s">
        <v>503</v>
      </c>
      <c r="AL154" s="145">
        <v>365</v>
      </c>
      <c r="AM154" s="152">
        <v>1</v>
      </c>
      <c r="AN154" s="146"/>
      <c r="AO154" s="146"/>
      <c r="AP154" s="199">
        <v>0</v>
      </c>
      <c r="AQ154" s="197">
        <v>0</v>
      </c>
      <c r="AR154" s="199">
        <v>1</v>
      </c>
      <c r="AS154" s="197">
        <v>0.5</v>
      </c>
      <c r="AT154" s="224" t="s">
        <v>419</v>
      </c>
      <c r="AU154" s="224" t="s">
        <v>420</v>
      </c>
      <c r="AV154" s="224" t="s">
        <v>613</v>
      </c>
      <c r="AW154" s="226">
        <v>240000000</v>
      </c>
      <c r="AX154" s="146" t="s">
        <v>532</v>
      </c>
      <c r="AY154" s="146" t="s">
        <v>573</v>
      </c>
      <c r="AZ154" s="145" t="s">
        <v>572</v>
      </c>
      <c r="BA154" s="145" t="s">
        <v>515</v>
      </c>
      <c r="BB154" s="142" t="s">
        <v>639</v>
      </c>
      <c r="BC154" s="145"/>
      <c r="BD154" s="669"/>
      <c r="BE154" s="669"/>
      <c r="BF154" s="678"/>
      <c r="BG154" s="198" t="s">
        <v>789</v>
      </c>
    </row>
    <row r="155" spans="1:59" s="14" customFormat="1" ht="113.25" customHeight="1" x14ac:dyDescent="0.35">
      <c r="A155" s="536"/>
      <c r="B155" s="461"/>
      <c r="C155" s="26"/>
      <c r="D155" s="26"/>
      <c r="E155" s="26"/>
      <c r="F155" s="389"/>
      <c r="G155" s="389"/>
      <c r="H155" s="389"/>
      <c r="I155" s="389"/>
      <c r="J155" s="463"/>
      <c r="K155" s="143" t="s">
        <v>424</v>
      </c>
      <c r="L155" s="144" t="s">
        <v>425</v>
      </c>
      <c r="M155" s="328" t="s">
        <v>426</v>
      </c>
      <c r="N155" s="143" t="s">
        <v>426</v>
      </c>
      <c r="O155" s="147">
        <v>284</v>
      </c>
      <c r="P155" s="147">
        <v>1</v>
      </c>
      <c r="Q155" s="147">
        <v>0.87</v>
      </c>
      <c r="R155" s="148">
        <v>1</v>
      </c>
      <c r="S155" s="148">
        <v>0.25</v>
      </c>
      <c r="T155" s="148">
        <v>0.25</v>
      </c>
      <c r="U155" s="148">
        <v>0.25</v>
      </c>
      <c r="V155" s="148">
        <v>0.25</v>
      </c>
      <c r="W155" s="148"/>
      <c r="X155" s="366">
        <v>71</v>
      </c>
      <c r="Y155" s="366">
        <v>142</v>
      </c>
      <c r="Z155" s="366">
        <v>14</v>
      </c>
      <c r="AA155" s="366">
        <v>18</v>
      </c>
      <c r="AB155" s="369">
        <f>+AA155+Z155</f>
        <v>32</v>
      </c>
      <c r="AC155" s="148">
        <f>+AB155/X155</f>
        <v>0.45070422535211269</v>
      </c>
      <c r="AD155" s="369">
        <f>+AB155+Y155</f>
        <v>174</v>
      </c>
      <c r="AE155" s="148">
        <f>+AD155/O155</f>
        <v>0.61267605633802813</v>
      </c>
      <c r="AF155" s="645"/>
      <c r="AG155" s="527"/>
      <c r="AH155" s="514"/>
      <c r="AI155" s="146" t="s">
        <v>679</v>
      </c>
      <c r="AJ155" s="152">
        <v>1</v>
      </c>
      <c r="AK155" s="145" t="s">
        <v>503</v>
      </c>
      <c r="AL155" s="145">
        <v>365</v>
      </c>
      <c r="AM155" s="152">
        <v>1</v>
      </c>
      <c r="AN155" s="146"/>
      <c r="AO155" s="146"/>
      <c r="AP155" s="199">
        <v>0</v>
      </c>
      <c r="AQ155" s="197">
        <v>0</v>
      </c>
      <c r="AR155" s="199">
        <v>59</v>
      </c>
      <c r="AS155" s="197">
        <v>0.5</v>
      </c>
      <c r="AT155" s="224" t="s">
        <v>419</v>
      </c>
      <c r="AU155" s="224" t="s">
        <v>420</v>
      </c>
      <c r="AV155" s="224"/>
      <c r="AW155" s="149"/>
      <c r="AX155" s="146"/>
      <c r="AY155" s="146"/>
      <c r="AZ155" s="145"/>
      <c r="BA155" s="145" t="s">
        <v>515</v>
      </c>
      <c r="BB155" s="142" t="s">
        <v>608</v>
      </c>
      <c r="BC155" s="145"/>
      <c r="BD155" s="669"/>
      <c r="BE155" s="669"/>
      <c r="BF155" s="678"/>
      <c r="BG155" s="143" t="s">
        <v>789</v>
      </c>
    </row>
    <row r="156" spans="1:59" s="14" customFormat="1" ht="81" customHeight="1" x14ac:dyDescent="0.35">
      <c r="A156" s="536"/>
      <c r="B156" s="461"/>
      <c r="C156" s="26"/>
      <c r="D156" s="26"/>
      <c r="E156" s="26"/>
      <c r="F156" s="389"/>
      <c r="G156" s="389"/>
      <c r="H156" s="389"/>
      <c r="I156" s="389"/>
      <c r="J156" s="463"/>
      <c r="K156" s="345" t="s">
        <v>427</v>
      </c>
      <c r="L156" s="402" t="s">
        <v>428</v>
      </c>
      <c r="M156" s="368" t="s">
        <v>429</v>
      </c>
      <c r="N156" s="345" t="s">
        <v>429</v>
      </c>
      <c r="O156" s="455" t="s">
        <v>430</v>
      </c>
      <c r="P156" s="356" t="s">
        <v>431</v>
      </c>
      <c r="Q156" s="357" t="s">
        <v>432</v>
      </c>
      <c r="R156" s="356" t="s">
        <v>430</v>
      </c>
      <c r="S156" s="358" t="s">
        <v>433</v>
      </c>
      <c r="T156" s="357" t="s">
        <v>434</v>
      </c>
      <c r="U156" s="357" t="s">
        <v>435</v>
      </c>
      <c r="V156" s="357" t="s">
        <v>436</v>
      </c>
      <c r="W156" s="357"/>
      <c r="X156" s="356" t="s">
        <v>430</v>
      </c>
      <c r="Y156" s="143">
        <v>2.21</v>
      </c>
      <c r="Z156" s="143">
        <v>2.21</v>
      </c>
      <c r="AA156" s="143" t="s">
        <v>790</v>
      </c>
      <c r="AB156" s="143" t="s">
        <v>790</v>
      </c>
      <c r="AC156" s="144">
        <v>0.5</v>
      </c>
      <c r="AD156" s="143" t="str">
        <f>+AB156</f>
        <v>0,20 Casos por 100.000 habitantes</v>
      </c>
      <c r="AE156" s="370">
        <v>0.65300000000000002</v>
      </c>
      <c r="AF156" s="645"/>
      <c r="AG156" s="527"/>
      <c r="AH156" s="514"/>
      <c r="AI156" s="146" t="s">
        <v>680</v>
      </c>
      <c r="AJ156" s="152">
        <v>1</v>
      </c>
      <c r="AK156" s="145" t="s">
        <v>503</v>
      </c>
      <c r="AL156" s="145">
        <v>365</v>
      </c>
      <c r="AM156" s="152">
        <v>1</v>
      </c>
      <c r="AN156" s="146"/>
      <c r="AO156" s="146"/>
      <c r="AP156" s="199">
        <v>96</v>
      </c>
      <c r="AQ156" s="197">
        <v>0.25</v>
      </c>
      <c r="AR156" s="199">
        <v>220</v>
      </c>
      <c r="AS156" s="197">
        <v>0.5</v>
      </c>
      <c r="AT156" s="224" t="s">
        <v>419</v>
      </c>
      <c r="AU156" s="224" t="s">
        <v>420</v>
      </c>
      <c r="AV156" s="224"/>
      <c r="AW156" s="149"/>
      <c r="AX156" s="146"/>
      <c r="AY156" s="146"/>
      <c r="AZ156" s="145"/>
      <c r="BA156" s="145" t="s">
        <v>515</v>
      </c>
      <c r="BB156" s="142" t="s">
        <v>639</v>
      </c>
      <c r="BC156" s="145"/>
      <c r="BD156" s="669"/>
      <c r="BE156" s="669"/>
      <c r="BF156" s="678"/>
      <c r="BG156" s="198" t="s">
        <v>788</v>
      </c>
    </row>
    <row r="157" spans="1:59" s="14" customFormat="1" ht="81" customHeight="1" x14ac:dyDescent="0.35">
      <c r="A157" s="536"/>
      <c r="B157" s="461"/>
      <c r="C157" s="26"/>
      <c r="D157" s="26"/>
      <c r="E157" s="26"/>
      <c r="F157" s="389"/>
      <c r="G157" s="389"/>
      <c r="H157" s="389"/>
      <c r="I157" s="389"/>
      <c r="J157" s="463"/>
      <c r="K157" s="345"/>
      <c r="L157" s="402"/>
      <c r="M157" s="368"/>
      <c r="N157" s="345"/>
      <c r="O157" s="455"/>
      <c r="P157" s="356"/>
      <c r="Q157" s="357"/>
      <c r="R157" s="356"/>
      <c r="S157" s="358"/>
      <c r="T157" s="357"/>
      <c r="U157" s="357"/>
      <c r="V157" s="357"/>
      <c r="W157" s="357"/>
      <c r="X157" s="356"/>
      <c r="Y157" s="143"/>
      <c r="Z157" s="143"/>
      <c r="AA157" s="143"/>
      <c r="AB157" s="143"/>
      <c r="AC157" s="144"/>
      <c r="AD157" s="143"/>
      <c r="AE157" s="370"/>
      <c r="AF157" s="646"/>
      <c r="AG157" s="603" t="s">
        <v>417</v>
      </c>
      <c r="AH157" s="604"/>
      <c r="AI157" s="604"/>
      <c r="AJ157" s="604"/>
      <c r="AK157" s="604"/>
      <c r="AL157" s="604"/>
      <c r="AM157" s="604"/>
      <c r="AN157" s="604"/>
      <c r="AO157" s="604"/>
      <c r="AP157" s="604"/>
      <c r="AQ157" s="604"/>
      <c r="AR157" s="605"/>
      <c r="AS157" s="423">
        <f>AVERAGE(AS153:AS156)</f>
        <v>0.5</v>
      </c>
      <c r="AT157" s="224"/>
      <c r="AU157" s="224"/>
      <c r="AV157" s="224"/>
      <c r="AW157" s="149"/>
      <c r="AX157" s="146"/>
      <c r="AY157" s="146"/>
      <c r="AZ157" s="145"/>
      <c r="BA157" s="145"/>
      <c r="BB157" s="142"/>
      <c r="BC157" s="145"/>
      <c r="BD157" s="669"/>
      <c r="BE157" s="669"/>
      <c r="BF157" s="678"/>
      <c r="BG157" s="198"/>
    </row>
    <row r="158" spans="1:59" s="14" customFormat="1" ht="85.5" customHeight="1" x14ac:dyDescent="0.35">
      <c r="A158" s="536"/>
      <c r="B158" s="461"/>
      <c r="C158" s="26"/>
      <c r="D158" s="26"/>
      <c r="E158" s="26"/>
      <c r="F158" s="389"/>
      <c r="G158" s="389"/>
      <c r="H158" s="389"/>
      <c r="I158" s="389"/>
      <c r="J158" s="463"/>
      <c r="K158" s="277" t="s">
        <v>437</v>
      </c>
      <c r="L158" s="36" t="s">
        <v>438</v>
      </c>
      <c r="M158" s="329" t="s">
        <v>439</v>
      </c>
      <c r="N158" s="277" t="s">
        <v>439</v>
      </c>
      <c r="O158" s="359">
        <v>1</v>
      </c>
      <c r="P158" s="359">
        <v>1</v>
      </c>
      <c r="Q158" s="359">
        <v>1</v>
      </c>
      <c r="R158" s="21">
        <v>1</v>
      </c>
      <c r="S158" s="21">
        <v>0.45</v>
      </c>
      <c r="T158" s="21">
        <v>0.25</v>
      </c>
      <c r="U158" s="21">
        <v>0.3</v>
      </c>
      <c r="V158" s="21">
        <v>0.1</v>
      </c>
      <c r="W158" s="21"/>
      <c r="X158" s="21">
        <v>1</v>
      </c>
      <c r="Y158" s="371">
        <v>0.52800000000000002</v>
      </c>
      <c r="Z158" s="21">
        <v>0.25</v>
      </c>
      <c r="AA158" s="21">
        <v>0.25</v>
      </c>
      <c r="AB158" s="21">
        <v>0.5</v>
      </c>
      <c r="AC158" s="21">
        <v>0.5</v>
      </c>
      <c r="AD158" s="372">
        <f>+Y158+(6.25%*2)</f>
        <v>0.65300000000000002</v>
      </c>
      <c r="AE158" s="21">
        <f>+AD158</f>
        <v>0.65300000000000002</v>
      </c>
      <c r="AF158" s="583" t="s">
        <v>440</v>
      </c>
      <c r="AG158" s="586">
        <v>2020130010058</v>
      </c>
      <c r="AH158" s="583" t="s">
        <v>441</v>
      </c>
      <c r="AI158" s="277" t="s">
        <v>682</v>
      </c>
      <c r="AJ158" s="36">
        <v>1</v>
      </c>
      <c r="AK158" s="277" t="s">
        <v>503</v>
      </c>
      <c r="AL158" s="277">
        <v>365</v>
      </c>
      <c r="AM158" s="36">
        <v>1</v>
      </c>
      <c r="AN158" s="277"/>
      <c r="AO158" s="277"/>
      <c r="AP158" s="277">
        <v>5</v>
      </c>
      <c r="AQ158" s="36">
        <v>0.25</v>
      </c>
      <c r="AR158" s="277">
        <v>20</v>
      </c>
      <c r="AS158" s="36">
        <v>0.5</v>
      </c>
      <c r="AT158" s="115" t="s">
        <v>419</v>
      </c>
      <c r="AU158" s="115" t="s">
        <v>420</v>
      </c>
      <c r="AV158" s="115" t="s">
        <v>512</v>
      </c>
      <c r="AW158" s="69">
        <v>61547391</v>
      </c>
      <c r="AX158" s="230" t="s">
        <v>539</v>
      </c>
      <c r="AY158" s="230" t="s">
        <v>571</v>
      </c>
      <c r="AZ158" s="10" t="s">
        <v>570</v>
      </c>
      <c r="BA158" s="10" t="s">
        <v>515</v>
      </c>
      <c r="BB158" s="120" t="s">
        <v>608</v>
      </c>
      <c r="BC158" s="10"/>
      <c r="BD158" s="669"/>
      <c r="BE158" s="669"/>
      <c r="BF158" s="678"/>
      <c r="BG158" s="228" t="s">
        <v>791</v>
      </c>
    </row>
    <row r="159" spans="1:59" s="14" customFormat="1" ht="78" customHeight="1" x14ac:dyDescent="0.35">
      <c r="A159" s="536"/>
      <c r="B159" s="461"/>
      <c r="C159" s="26"/>
      <c r="D159" s="26"/>
      <c r="E159" s="26"/>
      <c r="F159" s="389"/>
      <c r="G159" s="389"/>
      <c r="H159" s="389"/>
      <c r="I159" s="389"/>
      <c r="J159" s="463"/>
      <c r="K159" s="277" t="s">
        <v>442</v>
      </c>
      <c r="L159" s="277" t="s">
        <v>443</v>
      </c>
      <c r="M159" s="329" t="s">
        <v>444</v>
      </c>
      <c r="N159" s="277" t="s">
        <v>444</v>
      </c>
      <c r="O159" s="277" t="s">
        <v>445</v>
      </c>
      <c r="P159" s="277" t="s">
        <v>446</v>
      </c>
      <c r="Q159" s="277" t="s">
        <v>447</v>
      </c>
      <c r="R159" s="277" t="s">
        <v>445</v>
      </c>
      <c r="S159" s="277" t="s">
        <v>448</v>
      </c>
      <c r="T159" s="277" t="s">
        <v>449</v>
      </c>
      <c r="U159" s="277" t="s">
        <v>449</v>
      </c>
      <c r="V159" s="277" t="s">
        <v>450</v>
      </c>
      <c r="W159" s="277"/>
      <c r="X159" s="277" t="s">
        <v>445</v>
      </c>
      <c r="Y159" s="277" t="s">
        <v>805</v>
      </c>
      <c r="Z159" s="277" t="s">
        <v>805</v>
      </c>
      <c r="AA159" s="277" t="s">
        <v>805</v>
      </c>
      <c r="AB159" s="277" t="s">
        <v>805</v>
      </c>
      <c r="AC159" s="36">
        <v>0.5</v>
      </c>
      <c r="AD159" s="277" t="str">
        <f>+AB159</f>
        <v>&lt;0,05</v>
      </c>
      <c r="AE159" s="373">
        <v>0.65300000000000002</v>
      </c>
      <c r="AF159" s="584"/>
      <c r="AG159" s="587"/>
      <c r="AH159" s="584"/>
      <c r="AI159" s="277" t="s">
        <v>683</v>
      </c>
      <c r="AJ159" s="277">
        <v>1</v>
      </c>
      <c r="AK159" s="277" t="s">
        <v>503</v>
      </c>
      <c r="AL159" s="277">
        <v>365</v>
      </c>
      <c r="AM159" s="277">
        <v>1</v>
      </c>
      <c r="AN159" s="277"/>
      <c r="AO159" s="277"/>
      <c r="AP159" s="277">
        <v>0</v>
      </c>
      <c r="AQ159" s="36">
        <v>0</v>
      </c>
      <c r="AR159" s="36">
        <v>0</v>
      </c>
      <c r="AS159" s="36">
        <v>0</v>
      </c>
      <c r="AT159" s="115" t="s">
        <v>419</v>
      </c>
      <c r="AU159" s="115" t="s">
        <v>420</v>
      </c>
      <c r="AV159" s="115" t="s">
        <v>613</v>
      </c>
      <c r="AW159" s="69">
        <v>240000000</v>
      </c>
      <c r="AX159" s="230" t="s">
        <v>532</v>
      </c>
      <c r="AY159" s="230" t="s">
        <v>571</v>
      </c>
      <c r="AZ159" s="10" t="s">
        <v>570</v>
      </c>
      <c r="BA159" s="10" t="s">
        <v>515</v>
      </c>
      <c r="BB159" s="120" t="s">
        <v>685</v>
      </c>
      <c r="BC159" s="10"/>
      <c r="BD159" s="669"/>
      <c r="BE159" s="669"/>
      <c r="BF159" s="678"/>
      <c r="BG159" s="277" t="s">
        <v>792</v>
      </c>
    </row>
    <row r="160" spans="1:59" s="14" customFormat="1" ht="91.5" customHeight="1" x14ac:dyDescent="0.35">
      <c r="A160" s="536"/>
      <c r="B160" s="461"/>
      <c r="C160" s="26"/>
      <c r="D160" s="26"/>
      <c r="E160" s="26"/>
      <c r="F160" s="389"/>
      <c r="G160" s="389"/>
      <c r="H160" s="389"/>
      <c r="I160" s="389"/>
      <c r="J160" s="463"/>
      <c r="K160" s="347" t="s">
        <v>451</v>
      </c>
      <c r="L160" s="403" t="s">
        <v>452</v>
      </c>
      <c r="M160" s="346" t="s">
        <v>453</v>
      </c>
      <c r="N160" s="347" t="s">
        <v>453</v>
      </c>
      <c r="O160" s="360">
        <v>1</v>
      </c>
      <c r="P160" s="360">
        <v>0.5</v>
      </c>
      <c r="Q160" s="21">
        <v>0.5</v>
      </c>
      <c r="R160" s="360">
        <v>1</v>
      </c>
      <c r="S160" s="21">
        <v>0</v>
      </c>
      <c r="T160" s="21">
        <v>0.2</v>
      </c>
      <c r="U160" s="21">
        <v>0.2</v>
      </c>
      <c r="V160" s="21">
        <v>0.4</v>
      </c>
      <c r="W160" s="21"/>
      <c r="X160" s="360">
        <v>1</v>
      </c>
      <c r="Y160" s="374">
        <v>0.52800000000000002</v>
      </c>
      <c r="Z160" s="21">
        <v>1</v>
      </c>
      <c r="AA160" s="21">
        <v>0</v>
      </c>
      <c r="AB160" s="21">
        <v>1</v>
      </c>
      <c r="AC160" s="21">
        <v>1</v>
      </c>
      <c r="AD160" s="21">
        <v>0.78</v>
      </c>
      <c r="AE160" s="21">
        <v>0.78</v>
      </c>
      <c r="AF160" s="584"/>
      <c r="AG160" s="588"/>
      <c r="AH160" s="585"/>
      <c r="AI160" s="277" t="s">
        <v>684</v>
      </c>
      <c r="AJ160" s="277">
        <v>3</v>
      </c>
      <c r="AK160" s="277" t="s">
        <v>503</v>
      </c>
      <c r="AL160" s="277">
        <v>365</v>
      </c>
      <c r="AM160" s="277">
        <v>3</v>
      </c>
      <c r="AN160" s="277"/>
      <c r="AO160" s="277"/>
      <c r="AP160" s="277">
        <v>1</v>
      </c>
      <c r="AQ160" s="36">
        <f>+AP160/AM160</f>
        <v>0.33333333333333331</v>
      </c>
      <c r="AR160" s="36">
        <v>0</v>
      </c>
      <c r="AS160" s="36">
        <v>0.33</v>
      </c>
      <c r="AT160" s="115" t="s">
        <v>419</v>
      </c>
      <c r="AU160" s="115" t="s">
        <v>420</v>
      </c>
      <c r="AV160" s="115"/>
      <c r="AW160" s="69"/>
      <c r="AX160" s="230"/>
      <c r="AY160" s="230"/>
      <c r="AZ160" s="10"/>
      <c r="BA160" s="10" t="s">
        <v>515</v>
      </c>
      <c r="BB160" s="120" t="s">
        <v>608</v>
      </c>
      <c r="BC160" s="10"/>
      <c r="BD160" s="669"/>
      <c r="BE160" s="669"/>
      <c r="BF160" s="678"/>
      <c r="BG160" s="277" t="s">
        <v>793</v>
      </c>
    </row>
    <row r="161" spans="1:59" s="14" customFormat="1" ht="91.5" customHeight="1" x14ac:dyDescent="0.35">
      <c r="A161" s="536"/>
      <c r="B161" s="461"/>
      <c r="C161" s="26"/>
      <c r="D161" s="26"/>
      <c r="E161" s="26"/>
      <c r="F161" s="389"/>
      <c r="G161" s="389"/>
      <c r="H161" s="389"/>
      <c r="I161" s="389"/>
      <c r="J161" s="464"/>
      <c r="K161" s="468" t="s">
        <v>372</v>
      </c>
      <c r="L161" s="468"/>
      <c r="M161" s="468"/>
      <c r="N161" s="468"/>
      <c r="O161" s="468"/>
      <c r="P161" s="468"/>
      <c r="Q161" s="468"/>
      <c r="R161" s="468"/>
      <c r="S161" s="468"/>
      <c r="T161" s="468"/>
      <c r="U161" s="468"/>
      <c r="V161" s="468"/>
      <c r="W161" s="468"/>
      <c r="X161" s="468"/>
      <c r="Y161" s="468"/>
      <c r="Z161" s="468"/>
      <c r="AA161" s="468"/>
      <c r="AB161" s="468"/>
      <c r="AC161" s="375">
        <f>AVERAGE(AC139:AC160)</f>
        <v>0.4541147296809448</v>
      </c>
      <c r="AD161" s="344"/>
      <c r="AE161" s="375">
        <f>AVERAGE(AE139:AE160)</f>
        <v>0.66283065875134395</v>
      </c>
      <c r="AF161" s="585"/>
      <c r="AG161" s="603" t="s">
        <v>440</v>
      </c>
      <c r="AH161" s="604"/>
      <c r="AI161" s="604"/>
      <c r="AJ161" s="604"/>
      <c r="AK161" s="604"/>
      <c r="AL161" s="604"/>
      <c r="AM161" s="604"/>
      <c r="AN161" s="604"/>
      <c r="AO161" s="604"/>
      <c r="AP161" s="604"/>
      <c r="AQ161" s="604"/>
      <c r="AR161" s="605"/>
      <c r="AS161" s="336">
        <f>AVERAGE(AS158:AS160)</f>
        <v>0.27666666666666667</v>
      </c>
      <c r="AT161" s="115"/>
      <c r="AU161" s="115"/>
      <c r="AV161" s="115"/>
      <c r="AW161" s="69"/>
      <c r="AX161" s="230"/>
      <c r="AY161" s="230"/>
      <c r="AZ161" s="10"/>
      <c r="BA161" s="10"/>
      <c r="BB161" s="120"/>
      <c r="BC161" s="10"/>
      <c r="BD161" s="670"/>
      <c r="BE161" s="670"/>
      <c r="BF161" s="679"/>
      <c r="BG161" s="277"/>
    </row>
    <row r="162" spans="1:59" s="14" customFormat="1" ht="109.5" customHeight="1" x14ac:dyDescent="0.35">
      <c r="A162" s="536"/>
      <c r="B162" s="461"/>
      <c r="C162" s="26"/>
      <c r="D162" s="26"/>
      <c r="E162" s="26"/>
      <c r="F162" s="389"/>
      <c r="G162" s="389"/>
      <c r="H162" s="389"/>
      <c r="I162" s="389"/>
      <c r="J162" s="462" t="s">
        <v>454</v>
      </c>
      <c r="K162" s="276" t="s">
        <v>455</v>
      </c>
      <c r="L162" s="276" t="s">
        <v>456</v>
      </c>
      <c r="M162" s="323" t="s">
        <v>457</v>
      </c>
      <c r="N162" s="276" t="s">
        <v>457</v>
      </c>
      <c r="O162" s="276" t="s">
        <v>458</v>
      </c>
      <c r="P162" s="276" t="s">
        <v>458</v>
      </c>
      <c r="Q162" s="276" t="s">
        <v>459</v>
      </c>
      <c r="R162" s="276" t="s">
        <v>458</v>
      </c>
      <c r="S162" s="276" t="s">
        <v>458</v>
      </c>
      <c r="T162" s="276" t="s">
        <v>458</v>
      </c>
      <c r="U162" s="276" t="s">
        <v>458</v>
      </c>
      <c r="V162" s="276"/>
      <c r="W162" s="276"/>
      <c r="X162" s="276" t="s">
        <v>458</v>
      </c>
      <c r="Y162" s="276" t="s">
        <v>458</v>
      </c>
      <c r="Z162" s="276" t="s">
        <v>458</v>
      </c>
      <c r="AA162" s="276" t="s">
        <v>458</v>
      </c>
      <c r="AB162" s="276" t="str">
        <f>+AA162</f>
        <v xml:space="preserve"> 1 por cada 100.000 habitantes </v>
      </c>
      <c r="AC162" s="100">
        <v>0.5</v>
      </c>
      <c r="AD162" s="276" t="str">
        <f>+AB162</f>
        <v xml:space="preserve"> 1 por cada 100.000 habitantes </v>
      </c>
      <c r="AE162" s="305">
        <v>0.65300000000000002</v>
      </c>
      <c r="AF162" s="589" t="s">
        <v>598</v>
      </c>
      <c r="AG162" s="647">
        <v>2021130010169</v>
      </c>
      <c r="AH162" s="589" t="s">
        <v>460</v>
      </c>
      <c r="AI162" s="133" t="s">
        <v>461</v>
      </c>
      <c r="AJ162" s="353">
        <v>3520</v>
      </c>
      <c r="AK162" s="62" t="s">
        <v>503</v>
      </c>
      <c r="AL162" s="353">
        <v>365</v>
      </c>
      <c r="AM162" s="353">
        <v>3520</v>
      </c>
      <c r="AN162" s="353"/>
      <c r="AO162" s="353"/>
      <c r="AP162" s="452">
        <v>2159</v>
      </c>
      <c r="AQ162" s="361">
        <f>+AP162/AM162</f>
        <v>0.61335227272727277</v>
      </c>
      <c r="AR162" s="353">
        <v>1398</v>
      </c>
      <c r="AS162" s="451">
        <v>1</v>
      </c>
      <c r="AT162" s="165" t="s">
        <v>462</v>
      </c>
      <c r="AU162" s="165" t="s">
        <v>463</v>
      </c>
      <c r="AV162" s="165" t="s">
        <v>609</v>
      </c>
      <c r="AW162" s="166">
        <v>900000000</v>
      </c>
      <c r="AX162" s="167" t="s">
        <v>506</v>
      </c>
      <c r="AY162" s="167" t="s">
        <v>581</v>
      </c>
      <c r="AZ162" s="165" t="s">
        <v>580</v>
      </c>
      <c r="BA162" s="165" t="s">
        <v>515</v>
      </c>
      <c r="BB162" s="168" t="s">
        <v>608</v>
      </c>
      <c r="BC162" s="165"/>
      <c r="BD162" s="674">
        <v>900000000</v>
      </c>
      <c r="BE162" s="674">
        <v>760000000</v>
      </c>
      <c r="BF162" s="677">
        <f>+BE162/BD162</f>
        <v>0.84444444444444444</v>
      </c>
      <c r="BG162" s="133" t="s">
        <v>806</v>
      </c>
    </row>
    <row r="163" spans="1:59" s="14" customFormat="1" ht="90.75" customHeight="1" x14ac:dyDescent="0.35">
      <c r="A163" s="536"/>
      <c r="B163" s="461"/>
      <c r="C163" s="26"/>
      <c r="D163" s="26"/>
      <c r="E163" s="26"/>
      <c r="F163" s="389"/>
      <c r="G163" s="389"/>
      <c r="H163" s="389"/>
      <c r="I163" s="389"/>
      <c r="J163" s="463"/>
      <c r="K163" s="276" t="s">
        <v>464</v>
      </c>
      <c r="L163" s="100" t="s">
        <v>465</v>
      </c>
      <c r="M163" s="323" t="s">
        <v>466</v>
      </c>
      <c r="N163" s="276" t="s">
        <v>466</v>
      </c>
      <c r="O163" s="276">
        <f>29*4</f>
        <v>116</v>
      </c>
      <c r="P163" s="276">
        <v>29</v>
      </c>
      <c r="Q163" s="276">
        <v>29</v>
      </c>
      <c r="R163" s="276">
        <v>29</v>
      </c>
      <c r="S163" s="276">
        <v>10</v>
      </c>
      <c r="T163" s="276">
        <v>7</v>
      </c>
      <c r="U163" s="276">
        <v>22</v>
      </c>
      <c r="V163" s="276"/>
      <c r="W163" s="276"/>
      <c r="X163" s="276">
        <v>29</v>
      </c>
      <c r="Y163" s="276">
        <v>58</v>
      </c>
      <c r="Z163" s="276">
        <v>29</v>
      </c>
      <c r="AA163" s="276">
        <v>0</v>
      </c>
      <c r="AB163" s="276">
        <f>+AA163+Z163</f>
        <v>29</v>
      </c>
      <c r="AC163" s="178">
        <f>+AB163/X163</f>
        <v>1</v>
      </c>
      <c r="AD163" s="276">
        <v>87</v>
      </c>
      <c r="AE163" s="306">
        <f>+AD163/O163</f>
        <v>0.75</v>
      </c>
      <c r="AF163" s="590"/>
      <c r="AG163" s="648"/>
      <c r="AH163" s="590"/>
      <c r="AI163" s="133" t="s">
        <v>467</v>
      </c>
      <c r="AJ163" s="353">
        <v>29</v>
      </c>
      <c r="AK163" s="353" t="s">
        <v>503</v>
      </c>
      <c r="AL163" s="353">
        <v>365</v>
      </c>
      <c r="AM163" s="353">
        <v>29</v>
      </c>
      <c r="AN163" s="353"/>
      <c r="AO163" s="353"/>
      <c r="AP163" s="452">
        <v>29</v>
      </c>
      <c r="AQ163" s="361">
        <v>1</v>
      </c>
      <c r="AR163" s="353">
        <v>0</v>
      </c>
      <c r="AS163" s="361">
        <v>1</v>
      </c>
      <c r="AT163" s="165" t="s">
        <v>462</v>
      </c>
      <c r="AU163" s="165" t="s">
        <v>463</v>
      </c>
      <c r="AV163" s="165"/>
      <c r="AW163" s="166"/>
      <c r="AX163" s="235"/>
      <c r="AY163" s="167"/>
      <c r="AZ163" s="165"/>
      <c r="BA163" s="165" t="s">
        <v>515</v>
      </c>
      <c r="BB163" s="168" t="s">
        <v>608</v>
      </c>
      <c r="BC163" s="165"/>
      <c r="BD163" s="675"/>
      <c r="BE163" s="675"/>
      <c r="BF163" s="678"/>
      <c r="BG163" s="165" t="s">
        <v>709</v>
      </c>
    </row>
    <row r="164" spans="1:59" s="14" customFormat="1" ht="85.5" customHeight="1" x14ac:dyDescent="0.35">
      <c r="A164" s="536"/>
      <c r="B164" s="461"/>
      <c r="C164" s="26"/>
      <c r="D164" s="26"/>
      <c r="E164" s="26"/>
      <c r="F164" s="389"/>
      <c r="G164" s="389"/>
      <c r="H164" s="389"/>
      <c r="I164" s="389"/>
      <c r="J164" s="463"/>
      <c r="K164" s="515" t="s">
        <v>468</v>
      </c>
      <c r="L164" s="516" t="s">
        <v>469</v>
      </c>
      <c r="M164" s="404" t="s">
        <v>470</v>
      </c>
      <c r="N164" s="83" t="s">
        <v>470</v>
      </c>
      <c r="O164" s="276">
        <v>29</v>
      </c>
      <c r="P164" s="276">
        <v>29</v>
      </c>
      <c r="Q164" s="276">
        <v>29</v>
      </c>
      <c r="R164" s="276">
        <v>29</v>
      </c>
      <c r="S164" s="276">
        <v>10</v>
      </c>
      <c r="T164" s="276">
        <v>7</v>
      </c>
      <c r="U164" s="276">
        <v>22</v>
      </c>
      <c r="V164" s="276"/>
      <c r="W164" s="276"/>
      <c r="X164" s="276">
        <v>29</v>
      </c>
      <c r="Y164" s="276">
        <v>58</v>
      </c>
      <c r="Z164" s="276">
        <v>29</v>
      </c>
      <c r="AA164" s="276">
        <v>0</v>
      </c>
      <c r="AB164" s="276">
        <f>+AA164+Z164</f>
        <v>29</v>
      </c>
      <c r="AC164" s="178">
        <f>+AB164/X164</f>
        <v>1</v>
      </c>
      <c r="AD164" s="276">
        <v>87</v>
      </c>
      <c r="AE164" s="306">
        <v>0.75</v>
      </c>
      <c r="AF164" s="590"/>
      <c r="AG164" s="648"/>
      <c r="AH164" s="590"/>
      <c r="AI164" s="133" t="s">
        <v>471</v>
      </c>
      <c r="AJ164" s="353">
        <v>29</v>
      </c>
      <c r="AK164" s="353" t="s">
        <v>503</v>
      </c>
      <c r="AL164" s="353">
        <v>365</v>
      </c>
      <c r="AM164" s="353">
        <v>29</v>
      </c>
      <c r="AN164" s="353"/>
      <c r="AO164" s="353"/>
      <c r="AP164" s="452">
        <v>29</v>
      </c>
      <c r="AQ164" s="361">
        <v>1</v>
      </c>
      <c r="AR164" s="353">
        <v>0</v>
      </c>
      <c r="AS164" s="361">
        <v>1</v>
      </c>
      <c r="AT164" s="165" t="s">
        <v>462</v>
      </c>
      <c r="AU164" s="165" t="s">
        <v>463</v>
      </c>
      <c r="AV164" s="165"/>
      <c r="AW164" s="166"/>
      <c r="AX164" s="167"/>
      <c r="AY164" s="167"/>
      <c r="AZ164" s="165"/>
      <c r="BA164" s="165" t="s">
        <v>515</v>
      </c>
      <c r="BB164" s="168" t="s">
        <v>608</v>
      </c>
      <c r="BC164" s="165"/>
      <c r="BD164" s="675"/>
      <c r="BE164" s="675"/>
      <c r="BF164" s="678"/>
      <c r="BG164" s="165" t="s">
        <v>709</v>
      </c>
    </row>
    <row r="165" spans="1:59" s="14" customFormat="1" ht="58" x14ac:dyDescent="0.35">
      <c r="A165" s="536"/>
      <c r="B165" s="461"/>
      <c r="C165" s="26"/>
      <c r="D165" s="26"/>
      <c r="E165" s="26"/>
      <c r="F165" s="389"/>
      <c r="G165" s="389"/>
      <c r="H165" s="389"/>
      <c r="I165" s="389"/>
      <c r="J165" s="463"/>
      <c r="K165" s="515"/>
      <c r="L165" s="516"/>
      <c r="M165" s="404"/>
      <c r="N165" s="83"/>
      <c r="O165" s="276"/>
      <c r="P165" s="83"/>
      <c r="Q165" s="83"/>
      <c r="R165" s="83"/>
      <c r="S165" s="83"/>
      <c r="T165" s="83"/>
      <c r="U165" s="83"/>
      <c r="V165" s="83"/>
      <c r="W165" s="83"/>
      <c r="X165" s="83"/>
      <c r="Y165" s="83"/>
      <c r="Z165" s="83"/>
      <c r="AA165" s="83"/>
      <c r="AB165" s="83"/>
      <c r="AC165" s="83"/>
      <c r="AD165" s="83"/>
      <c r="AE165" s="83"/>
      <c r="AF165" s="590"/>
      <c r="AG165" s="648"/>
      <c r="AH165" s="590"/>
      <c r="AI165" s="133" t="s">
        <v>472</v>
      </c>
      <c r="AJ165" s="353">
        <v>29</v>
      </c>
      <c r="AK165" s="353" t="s">
        <v>503</v>
      </c>
      <c r="AL165" s="353">
        <v>365</v>
      </c>
      <c r="AM165" s="353">
        <v>29</v>
      </c>
      <c r="AN165" s="353"/>
      <c r="AO165" s="353"/>
      <c r="AP165" s="452">
        <v>29</v>
      </c>
      <c r="AQ165" s="361">
        <v>1</v>
      </c>
      <c r="AR165" s="353">
        <v>0</v>
      </c>
      <c r="AS165" s="361">
        <v>1</v>
      </c>
      <c r="AT165" s="165" t="s">
        <v>462</v>
      </c>
      <c r="AU165" s="165" t="s">
        <v>463</v>
      </c>
      <c r="AV165" s="165"/>
      <c r="AW165" s="166"/>
      <c r="AX165" s="167"/>
      <c r="AY165" s="167"/>
      <c r="AZ165" s="165"/>
      <c r="BA165" s="165" t="s">
        <v>515</v>
      </c>
      <c r="BB165" s="168" t="s">
        <v>608</v>
      </c>
      <c r="BC165" s="165"/>
      <c r="BD165" s="675"/>
      <c r="BE165" s="675"/>
      <c r="BF165" s="678"/>
      <c r="BG165" s="165" t="s">
        <v>709</v>
      </c>
    </row>
    <row r="166" spans="1:59" s="14" customFormat="1" ht="43.5" x14ac:dyDescent="0.35">
      <c r="A166" s="536"/>
      <c r="B166" s="461"/>
      <c r="C166" s="26"/>
      <c r="D166" s="26"/>
      <c r="E166" s="26"/>
      <c r="F166" s="389"/>
      <c r="G166" s="389"/>
      <c r="H166" s="389"/>
      <c r="I166" s="389"/>
      <c r="J166" s="463"/>
      <c r="K166" s="515"/>
      <c r="L166" s="516"/>
      <c r="M166" s="404"/>
      <c r="N166" s="83"/>
      <c r="O166" s="276"/>
      <c r="P166" s="83"/>
      <c r="Q166" s="83"/>
      <c r="R166" s="83"/>
      <c r="S166" s="83"/>
      <c r="T166" s="83"/>
      <c r="U166" s="83"/>
      <c r="V166" s="83"/>
      <c r="W166" s="83"/>
      <c r="X166" s="83"/>
      <c r="Y166" s="83"/>
      <c r="Z166" s="83"/>
      <c r="AA166" s="83"/>
      <c r="AB166" s="83"/>
      <c r="AC166" s="83"/>
      <c r="AD166" s="83"/>
      <c r="AE166" s="83"/>
      <c r="AF166" s="590"/>
      <c r="AG166" s="649"/>
      <c r="AH166" s="591"/>
      <c r="AI166" s="133" t="s">
        <v>473</v>
      </c>
      <c r="AJ166" s="353">
        <v>29</v>
      </c>
      <c r="AK166" s="353" t="s">
        <v>503</v>
      </c>
      <c r="AL166" s="353">
        <v>365</v>
      </c>
      <c r="AM166" s="353">
        <v>29</v>
      </c>
      <c r="AN166" s="353"/>
      <c r="AO166" s="353"/>
      <c r="AP166" s="452">
        <v>29</v>
      </c>
      <c r="AQ166" s="361">
        <v>1</v>
      </c>
      <c r="AR166" s="353">
        <v>0</v>
      </c>
      <c r="AS166" s="361">
        <v>1</v>
      </c>
      <c r="AT166" s="165" t="s">
        <v>462</v>
      </c>
      <c r="AU166" s="165" t="s">
        <v>463</v>
      </c>
      <c r="AV166" s="165"/>
      <c r="AW166" s="166"/>
      <c r="AX166" s="167"/>
      <c r="AY166" s="167"/>
      <c r="AZ166" s="165"/>
      <c r="BA166" s="165" t="s">
        <v>515</v>
      </c>
      <c r="BB166" s="168" t="s">
        <v>608</v>
      </c>
      <c r="BC166" s="165"/>
      <c r="BD166" s="675"/>
      <c r="BE166" s="675"/>
      <c r="BF166" s="678"/>
      <c r="BG166" s="165" t="s">
        <v>709</v>
      </c>
    </row>
    <row r="167" spans="1:59" s="14" customFormat="1" ht="74.25" customHeight="1" x14ac:dyDescent="0.35">
      <c r="A167" s="536"/>
      <c r="B167" s="461"/>
      <c r="C167" s="26"/>
      <c r="D167" s="26"/>
      <c r="E167" s="26"/>
      <c r="F167" s="389"/>
      <c r="G167" s="389"/>
      <c r="H167" s="389"/>
      <c r="I167" s="389"/>
      <c r="J167" s="464"/>
      <c r="K167" s="468" t="s">
        <v>454</v>
      </c>
      <c r="L167" s="468"/>
      <c r="M167" s="468"/>
      <c r="N167" s="468"/>
      <c r="O167" s="468"/>
      <c r="P167" s="468"/>
      <c r="Q167" s="468"/>
      <c r="R167" s="468"/>
      <c r="S167" s="468"/>
      <c r="T167" s="468"/>
      <c r="U167" s="468"/>
      <c r="V167" s="468"/>
      <c r="W167" s="468"/>
      <c r="X167" s="468"/>
      <c r="Y167" s="468"/>
      <c r="Z167" s="468"/>
      <c r="AA167" s="468"/>
      <c r="AB167" s="468"/>
      <c r="AC167" s="377">
        <f>AVERAGE(AC162:AC166)</f>
        <v>0.83333333333333337</v>
      </c>
      <c r="AD167" s="376"/>
      <c r="AE167" s="378">
        <f>AVERAGE(AE162:AE166)</f>
        <v>0.71766666666666667</v>
      </c>
      <c r="AF167" s="591"/>
      <c r="AG167" s="608" t="s">
        <v>598</v>
      </c>
      <c r="AH167" s="609"/>
      <c r="AI167" s="609"/>
      <c r="AJ167" s="609"/>
      <c r="AK167" s="609"/>
      <c r="AL167" s="609"/>
      <c r="AM167" s="609"/>
      <c r="AN167" s="609"/>
      <c r="AO167" s="609"/>
      <c r="AP167" s="609"/>
      <c r="AQ167" s="609"/>
      <c r="AR167" s="610"/>
      <c r="AS167" s="439">
        <f>AVERAGE(AS162:AS166)</f>
        <v>1</v>
      </c>
      <c r="AT167" s="165"/>
      <c r="AU167" s="165"/>
      <c r="AV167" s="165"/>
      <c r="AW167" s="166"/>
      <c r="AX167" s="167"/>
      <c r="AY167" s="167"/>
      <c r="AZ167" s="165"/>
      <c r="BA167" s="165"/>
      <c r="BB167" s="168"/>
      <c r="BC167" s="165"/>
      <c r="BD167" s="676"/>
      <c r="BE167" s="676"/>
      <c r="BF167" s="679"/>
      <c r="BG167" s="165"/>
    </row>
    <row r="168" spans="1:59" s="14" customFormat="1" ht="138" customHeight="1" x14ac:dyDescent="0.35">
      <c r="A168" s="536"/>
      <c r="B168" s="461"/>
      <c r="C168" s="26"/>
      <c r="D168" s="26"/>
      <c r="E168" s="26"/>
      <c r="F168" s="389"/>
      <c r="G168" s="389"/>
      <c r="H168" s="389"/>
      <c r="I168" s="389"/>
      <c r="J168" s="461" t="s">
        <v>474</v>
      </c>
      <c r="K168" s="28" t="s">
        <v>475</v>
      </c>
      <c r="L168" s="28" t="s">
        <v>476</v>
      </c>
      <c r="M168" s="325" t="s">
        <v>477</v>
      </c>
      <c r="N168" s="28" t="s">
        <v>477</v>
      </c>
      <c r="O168" s="380">
        <v>0.05</v>
      </c>
      <c r="P168" s="380">
        <v>0.05</v>
      </c>
      <c r="Q168" s="380">
        <v>0.05</v>
      </c>
      <c r="R168" s="380">
        <v>0.05</v>
      </c>
      <c r="S168" s="380" t="s">
        <v>478</v>
      </c>
      <c r="T168" s="380" t="s">
        <v>478</v>
      </c>
      <c r="U168" s="380" t="s">
        <v>478</v>
      </c>
      <c r="V168" s="380" t="s">
        <v>478</v>
      </c>
      <c r="W168" s="380"/>
      <c r="X168" s="380">
        <v>0.05</v>
      </c>
      <c r="Y168" s="380">
        <v>0.05</v>
      </c>
      <c r="Z168" s="380">
        <v>0.03</v>
      </c>
      <c r="AA168" s="380">
        <v>0.03</v>
      </c>
      <c r="AB168" s="380">
        <v>0.3</v>
      </c>
      <c r="AC168" s="382">
        <v>0.5</v>
      </c>
      <c r="AD168" s="380">
        <v>0.3</v>
      </c>
      <c r="AE168" s="383">
        <v>0.65300000000000002</v>
      </c>
      <c r="AF168" s="571" t="s">
        <v>479</v>
      </c>
      <c r="AG168" s="574">
        <v>2020130010129</v>
      </c>
      <c r="AH168" s="571" t="s">
        <v>480</v>
      </c>
      <c r="AI168" s="28" t="s">
        <v>481</v>
      </c>
      <c r="AJ168" s="28">
        <v>100</v>
      </c>
      <c r="AK168" s="28" t="s">
        <v>503</v>
      </c>
      <c r="AL168" s="28">
        <v>365</v>
      </c>
      <c r="AM168" s="28">
        <v>100</v>
      </c>
      <c r="AN168" s="28"/>
      <c r="AO168" s="28"/>
      <c r="AP168" s="28">
        <v>2</v>
      </c>
      <c r="AQ168" s="8">
        <v>0.22</v>
      </c>
      <c r="AR168" s="28">
        <v>2</v>
      </c>
      <c r="AS168" s="173">
        <v>0.5</v>
      </c>
      <c r="AT168" s="27" t="s">
        <v>140</v>
      </c>
      <c r="AU168" s="27" t="s">
        <v>482</v>
      </c>
      <c r="AV168" s="27" t="s">
        <v>614</v>
      </c>
      <c r="AW168" s="211">
        <v>382058179</v>
      </c>
      <c r="AX168" s="30" t="s">
        <v>544</v>
      </c>
      <c r="AY168" s="30" t="s">
        <v>583</v>
      </c>
      <c r="AZ168" s="27" t="s">
        <v>582</v>
      </c>
      <c r="BA168" s="27" t="s">
        <v>515</v>
      </c>
      <c r="BB168" s="16" t="s">
        <v>608</v>
      </c>
      <c r="BC168" s="27"/>
      <c r="BD168" s="668">
        <v>382058179</v>
      </c>
      <c r="BE168" s="668">
        <v>203400000</v>
      </c>
      <c r="BF168" s="677">
        <f>+BE168/BD168</f>
        <v>0.53237965100597939</v>
      </c>
      <c r="BG168" s="186" t="s">
        <v>794</v>
      </c>
    </row>
    <row r="169" spans="1:59" s="14" customFormat="1" ht="142.5" customHeight="1" x14ac:dyDescent="0.35">
      <c r="A169" s="536"/>
      <c r="B169" s="461"/>
      <c r="C169" s="26"/>
      <c r="D169" s="26"/>
      <c r="E169" s="26"/>
      <c r="F169" s="389"/>
      <c r="G169" s="389"/>
      <c r="H169" s="389"/>
      <c r="I169" s="389"/>
      <c r="J169" s="461"/>
      <c r="K169" s="28" t="s">
        <v>483</v>
      </c>
      <c r="L169" s="28" t="s">
        <v>484</v>
      </c>
      <c r="M169" s="325" t="s">
        <v>485</v>
      </c>
      <c r="N169" s="28" t="s">
        <v>485</v>
      </c>
      <c r="O169" s="380">
        <v>600</v>
      </c>
      <c r="P169" s="380">
        <v>150</v>
      </c>
      <c r="Q169" s="380">
        <v>35</v>
      </c>
      <c r="R169" s="380">
        <v>150</v>
      </c>
      <c r="S169" s="380">
        <v>0</v>
      </c>
      <c r="T169" s="380">
        <v>76</v>
      </c>
      <c r="U169" s="380">
        <v>50</v>
      </c>
      <c r="V169" s="380">
        <v>25</v>
      </c>
      <c r="W169" s="380"/>
      <c r="X169" s="380">
        <v>150</v>
      </c>
      <c r="Y169" s="380">
        <v>211</v>
      </c>
      <c r="Z169" s="380">
        <v>20</v>
      </c>
      <c r="AA169" s="380">
        <v>50</v>
      </c>
      <c r="AB169" s="380">
        <f>+AA169+Z169</f>
        <v>70</v>
      </c>
      <c r="AC169" s="384">
        <f>+AB169/X169</f>
        <v>0.46666666666666667</v>
      </c>
      <c r="AD169" s="380">
        <f>+AB169+Y169</f>
        <v>281</v>
      </c>
      <c r="AE169" s="384">
        <f>+AD169/O169</f>
        <v>0.46833333333333332</v>
      </c>
      <c r="AF169" s="572"/>
      <c r="AG169" s="575"/>
      <c r="AH169" s="572"/>
      <c r="AI169" s="28" t="s">
        <v>486</v>
      </c>
      <c r="AJ169" s="28">
        <v>150</v>
      </c>
      <c r="AK169" s="28" t="s">
        <v>503</v>
      </c>
      <c r="AL169" s="28">
        <v>365</v>
      </c>
      <c r="AM169" s="28">
        <v>150</v>
      </c>
      <c r="AN169" s="28"/>
      <c r="AO169" s="28"/>
      <c r="AP169" s="28">
        <v>51</v>
      </c>
      <c r="AQ169" s="173">
        <f>+AP169/AM169</f>
        <v>0.34</v>
      </c>
      <c r="AR169" s="209">
        <v>48</v>
      </c>
      <c r="AS169" s="173">
        <v>0.65</v>
      </c>
      <c r="AT169" s="27" t="s">
        <v>140</v>
      </c>
      <c r="AU169" s="27" t="s">
        <v>482</v>
      </c>
      <c r="AV169" s="27"/>
      <c r="AW169" s="82"/>
      <c r="AX169" s="30"/>
      <c r="AY169" s="30"/>
      <c r="AZ169" s="27"/>
      <c r="BA169" s="27" t="s">
        <v>515</v>
      </c>
      <c r="BB169" s="16" t="s">
        <v>608</v>
      </c>
      <c r="BC169" s="27"/>
      <c r="BD169" s="669"/>
      <c r="BE169" s="669"/>
      <c r="BF169" s="678"/>
      <c r="BG169" s="27" t="s">
        <v>795</v>
      </c>
    </row>
    <row r="170" spans="1:59" s="14" customFormat="1" ht="154.5" customHeight="1" x14ac:dyDescent="0.35">
      <c r="A170" s="536"/>
      <c r="B170" s="461"/>
      <c r="C170" s="26"/>
      <c r="D170" s="26"/>
      <c r="E170" s="26"/>
      <c r="F170" s="389"/>
      <c r="G170" s="389"/>
      <c r="H170" s="389"/>
      <c r="I170" s="389"/>
      <c r="J170" s="461"/>
      <c r="K170" s="28" t="s">
        <v>487</v>
      </c>
      <c r="L170" s="28" t="s">
        <v>488</v>
      </c>
      <c r="M170" s="325" t="s">
        <v>489</v>
      </c>
      <c r="N170" s="28" t="s">
        <v>489</v>
      </c>
      <c r="O170" s="380">
        <v>36</v>
      </c>
      <c r="P170" s="380">
        <v>9</v>
      </c>
      <c r="Q170" s="380">
        <v>9</v>
      </c>
      <c r="R170" s="380">
        <v>9</v>
      </c>
      <c r="S170" s="380">
        <v>1</v>
      </c>
      <c r="T170" s="380">
        <v>3</v>
      </c>
      <c r="U170" s="380">
        <v>3</v>
      </c>
      <c r="V170" s="380">
        <v>1</v>
      </c>
      <c r="W170" s="380"/>
      <c r="X170" s="380">
        <v>9</v>
      </c>
      <c r="Y170" s="380">
        <v>18</v>
      </c>
      <c r="Z170" s="380">
        <v>3</v>
      </c>
      <c r="AA170" s="380">
        <v>3</v>
      </c>
      <c r="AB170" s="380">
        <v>6</v>
      </c>
      <c r="AC170" s="384">
        <f>+AB170/X170</f>
        <v>0.66666666666666663</v>
      </c>
      <c r="AD170" s="380">
        <f>+AB170+Y170</f>
        <v>24</v>
      </c>
      <c r="AE170" s="384">
        <f>+AD170/O170</f>
        <v>0.66666666666666663</v>
      </c>
      <c r="AF170" s="572"/>
      <c r="AG170" s="575"/>
      <c r="AH170" s="572"/>
      <c r="AI170" s="28" t="s">
        <v>490</v>
      </c>
      <c r="AJ170" s="28">
        <v>5</v>
      </c>
      <c r="AK170" s="28" t="s">
        <v>503</v>
      </c>
      <c r="AL170" s="28">
        <v>365</v>
      </c>
      <c r="AM170" s="28">
        <v>5</v>
      </c>
      <c r="AN170" s="28"/>
      <c r="AO170" s="28"/>
      <c r="AP170" s="28">
        <v>0</v>
      </c>
      <c r="AQ170" s="8">
        <v>0</v>
      </c>
      <c r="AR170" s="8">
        <v>0</v>
      </c>
      <c r="AS170" s="8">
        <v>0</v>
      </c>
      <c r="AT170" s="27" t="s">
        <v>140</v>
      </c>
      <c r="AU170" s="27" t="s">
        <v>482</v>
      </c>
      <c r="AV170" s="27"/>
      <c r="AW170" s="82"/>
      <c r="AX170" s="30"/>
      <c r="AY170" s="30"/>
      <c r="AZ170" s="27"/>
      <c r="BA170" s="27" t="s">
        <v>515</v>
      </c>
      <c r="BB170" s="16" t="s">
        <v>676</v>
      </c>
      <c r="BC170" s="27"/>
      <c r="BD170" s="669"/>
      <c r="BE170" s="669"/>
      <c r="BF170" s="678"/>
      <c r="BG170" s="27" t="s">
        <v>796</v>
      </c>
    </row>
    <row r="171" spans="1:59" s="14" customFormat="1" ht="132.75" customHeight="1" x14ac:dyDescent="0.35">
      <c r="A171" s="536"/>
      <c r="B171" s="461"/>
      <c r="C171" s="26"/>
      <c r="D171" s="26"/>
      <c r="E171" s="26"/>
      <c r="F171" s="389"/>
      <c r="G171" s="389"/>
      <c r="H171" s="389"/>
      <c r="I171" s="389"/>
      <c r="J171" s="461"/>
      <c r="K171" s="28" t="s">
        <v>491</v>
      </c>
      <c r="L171" s="8" t="s">
        <v>492</v>
      </c>
      <c r="M171" s="325" t="s">
        <v>493</v>
      </c>
      <c r="N171" s="28" t="s">
        <v>493</v>
      </c>
      <c r="O171" s="380">
        <v>1</v>
      </c>
      <c r="P171" s="380">
        <v>0.25</v>
      </c>
      <c r="Q171" s="380">
        <v>0.25</v>
      </c>
      <c r="R171" s="380">
        <v>0.25</v>
      </c>
      <c r="S171" s="380">
        <v>0</v>
      </c>
      <c r="T171" s="380">
        <v>0.17</v>
      </c>
      <c r="U171" s="380">
        <v>0.08</v>
      </c>
      <c r="V171" s="380">
        <v>0.01</v>
      </c>
      <c r="W171" s="380"/>
      <c r="X171" s="380">
        <v>0.25</v>
      </c>
      <c r="Y171" s="380"/>
      <c r="Z171" s="380">
        <f>0.22*0.25</f>
        <v>5.5E-2</v>
      </c>
      <c r="AA171" s="380">
        <f>0.22*0.25</f>
        <v>5.5E-2</v>
      </c>
      <c r="AB171" s="380">
        <f>+AA171+Z171</f>
        <v>0.11</v>
      </c>
      <c r="AC171" s="382">
        <f>+AB171/X171</f>
        <v>0.44</v>
      </c>
      <c r="AD171" s="383">
        <v>0.65300000000000002</v>
      </c>
      <c r="AE171" s="383">
        <f>+AD171</f>
        <v>0.65300000000000002</v>
      </c>
      <c r="AF171" s="572"/>
      <c r="AG171" s="576"/>
      <c r="AH171" s="573"/>
      <c r="AI171" s="28" t="s">
        <v>686</v>
      </c>
      <c r="AJ171" s="28">
        <v>9</v>
      </c>
      <c r="AK171" s="28" t="s">
        <v>503</v>
      </c>
      <c r="AL171" s="28">
        <v>365</v>
      </c>
      <c r="AM171" s="28">
        <v>9</v>
      </c>
      <c r="AN171" s="28"/>
      <c r="AO171" s="28"/>
      <c r="AP171" s="28">
        <v>3</v>
      </c>
      <c r="AQ171" s="173">
        <f>+AP171/AM171</f>
        <v>0.33333333333333331</v>
      </c>
      <c r="AR171" s="209">
        <v>3</v>
      </c>
      <c r="AS171" s="173">
        <v>0.66</v>
      </c>
      <c r="AT171" s="27" t="s">
        <v>140</v>
      </c>
      <c r="AU171" s="27" t="s">
        <v>482</v>
      </c>
      <c r="AV171" s="27"/>
      <c r="AW171" s="82"/>
      <c r="AX171" s="30"/>
      <c r="AY171" s="30"/>
      <c r="AZ171" s="27"/>
      <c r="BA171" s="27" t="s">
        <v>515</v>
      </c>
      <c r="BB171" s="16" t="s">
        <v>608</v>
      </c>
      <c r="BC171" s="27"/>
      <c r="BD171" s="669"/>
      <c r="BE171" s="669"/>
      <c r="BF171" s="678"/>
      <c r="BG171" s="27" t="s">
        <v>797</v>
      </c>
    </row>
    <row r="172" spans="1:59" s="6" customFormat="1" ht="113.25" customHeight="1" x14ac:dyDescent="0.35">
      <c r="A172" s="536"/>
      <c r="B172" s="461"/>
      <c r="C172" s="34"/>
      <c r="D172" s="34"/>
      <c r="E172" s="34"/>
      <c r="F172" s="390"/>
      <c r="G172" s="390"/>
      <c r="H172" s="390"/>
      <c r="I172" s="390"/>
      <c r="J172" s="461"/>
      <c r="K172" s="45" t="s">
        <v>494</v>
      </c>
      <c r="L172" s="45" t="s">
        <v>495</v>
      </c>
      <c r="M172" s="325" t="s">
        <v>496</v>
      </c>
      <c r="N172" s="45" t="s">
        <v>496</v>
      </c>
      <c r="O172" s="381">
        <v>20</v>
      </c>
      <c r="P172" s="381">
        <v>5</v>
      </c>
      <c r="Q172" s="381">
        <v>5</v>
      </c>
      <c r="R172" s="381">
        <v>5</v>
      </c>
      <c r="S172" s="381">
        <v>0</v>
      </c>
      <c r="T172" s="381">
        <v>0</v>
      </c>
      <c r="U172" s="381">
        <v>0</v>
      </c>
      <c r="V172" s="381">
        <v>0</v>
      </c>
      <c r="W172" s="381"/>
      <c r="X172" s="381">
        <v>5</v>
      </c>
      <c r="Y172" s="381">
        <v>5</v>
      </c>
      <c r="Z172" s="381">
        <v>0</v>
      </c>
      <c r="AA172" s="381">
        <v>0</v>
      </c>
      <c r="AB172" s="381">
        <v>0</v>
      </c>
      <c r="AC172" s="385">
        <v>0</v>
      </c>
      <c r="AD172" s="381">
        <f>+Y172</f>
        <v>5</v>
      </c>
      <c r="AE172" s="386">
        <f>+AD172/O172</f>
        <v>0.25</v>
      </c>
      <c r="AF172" s="573"/>
      <c r="AG172" s="608" t="s">
        <v>479</v>
      </c>
      <c r="AH172" s="609"/>
      <c r="AI172" s="609"/>
      <c r="AJ172" s="609"/>
      <c r="AK172" s="609"/>
      <c r="AL172" s="609"/>
      <c r="AM172" s="609"/>
      <c r="AN172" s="609"/>
      <c r="AO172" s="609"/>
      <c r="AP172" s="609"/>
      <c r="AQ172" s="609"/>
      <c r="AR172" s="610"/>
      <c r="AS172" s="336">
        <f>AVERAGE(AS168:AS171)</f>
        <v>0.45250000000000001</v>
      </c>
      <c r="AT172" s="47"/>
      <c r="AU172" s="47"/>
      <c r="AV172" s="47"/>
      <c r="AW172" s="54"/>
      <c r="AX172" s="46"/>
      <c r="AY172" s="46"/>
      <c r="AZ172" s="47"/>
      <c r="BA172" s="47"/>
      <c r="BB172" s="122"/>
      <c r="BC172" s="47"/>
      <c r="BD172" s="670"/>
      <c r="BE172" s="670"/>
      <c r="BF172" s="679"/>
      <c r="BG172" s="47"/>
    </row>
    <row r="173" spans="1:59" ht="48.75" customHeight="1" x14ac:dyDescent="0.35">
      <c r="A173" s="536"/>
      <c r="B173" s="461"/>
      <c r="C173" s="405"/>
      <c r="D173" s="405"/>
      <c r="E173" s="405"/>
      <c r="F173" s="406"/>
      <c r="G173" s="406"/>
      <c r="H173" s="406"/>
      <c r="I173" s="406"/>
      <c r="J173" s="459" t="s">
        <v>474</v>
      </c>
      <c r="K173" s="459"/>
      <c r="L173" s="459"/>
      <c r="M173" s="459"/>
      <c r="N173" s="459"/>
      <c r="O173" s="459"/>
      <c r="P173" s="459"/>
      <c r="Q173" s="459"/>
      <c r="R173" s="459"/>
      <c r="S173" s="459"/>
      <c r="T173" s="459"/>
      <c r="U173" s="459"/>
      <c r="V173" s="459"/>
      <c r="W173" s="459"/>
      <c r="X173" s="459"/>
      <c r="Y173" s="459"/>
      <c r="Z173" s="459"/>
      <c r="AA173" s="459"/>
      <c r="AB173" s="459"/>
      <c r="AC173" s="388">
        <f>AVERAGE(AC168:AC172)</f>
        <v>0.41466666666666663</v>
      </c>
      <c r="AD173" s="379"/>
      <c r="AE173" s="387">
        <f>AVERAGE(AE168:AE172)</f>
        <v>0.53820000000000001</v>
      </c>
      <c r="AF173" s="407"/>
      <c r="AG173" s="408"/>
      <c r="AH173" s="405"/>
      <c r="AI173" s="406"/>
      <c r="AJ173" s="409"/>
      <c r="AK173" s="410"/>
      <c r="AL173" s="410"/>
      <c r="AM173" s="411"/>
      <c r="AN173" s="412"/>
      <c r="AO173" s="410"/>
      <c r="AP173" s="410"/>
      <c r="AQ173" s="410"/>
      <c r="AR173" s="410"/>
      <c r="AS173" s="442"/>
      <c r="AT173" s="413"/>
      <c r="AU173" s="414"/>
      <c r="AV173" s="410"/>
      <c r="AW173" s="415"/>
      <c r="AX173" s="416"/>
      <c r="AY173" s="416"/>
      <c r="AZ173" s="410"/>
      <c r="BA173" s="410"/>
      <c r="BB173" s="417"/>
      <c r="BC173" s="410"/>
      <c r="BD173" s="410"/>
      <c r="BE173" s="410"/>
      <c r="BF173" s="410"/>
      <c r="BG173" s="410"/>
    </row>
    <row r="174" spans="1:59" ht="41.25" customHeight="1" x14ac:dyDescent="0.35">
      <c r="A174" s="536"/>
      <c r="B174" s="461"/>
      <c r="C174" s="535" t="s">
        <v>832</v>
      </c>
      <c r="D174" s="535"/>
      <c r="E174" s="535"/>
      <c r="F174" s="535"/>
      <c r="G174" s="535"/>
      <c r="H174" s="535"/>
      <c r="I174" s="535"/>
      <c r="J174" s="535"/>
      <c r="K174" s="535"/>
      <c r="L174" s="535"/>
      <c r="M174" s="535"/>
      <c r="N174" s="535"/>
      <c r="O174" s="535"/>
      <c r="P174" s="535"/>
      <c r="Q174" s="535"/>
      <c r="R174" s="535"/>
      <c r="S174" s="535"/>
      <c r="T174" s="535"/>
      <c r="U174" s="535"/>
      <c r="V174" s="535"/>
      <c r="W174" s="535"/>
      <c r="X174" s="535"/>
      <c r="Y174" s="535"/>
      <c r="Z174" s="535"/>
      <c r="AA174" s="535"/>
      <c r="AB174" s="535"/>
      <c r="AC174" s="388">
        <f>+AC173</f>
        <v>0.41466666666666663</v>
      </c>
      <c r="AD174" s="418"/>
      <c r="AE174" s="388">
        <f>+AE173</f>
        <v>0.53820000000000001</v>
      </c>
      <c r="AF174" s="407"/>
      <c r="AG174" s="408"/>
      <c r="AH174" s="405"/>
      <c r="AI174" s="406"/>
      <c r="AJ174" s="409"/>
      <c r="AK174" s="410"/>
      <c r="AL174" s="410"/>
      <c r="AM174" s="411"/>
      <c r="AN174" s="412"/>
      <c r="AO174" s="410"/>
      <c r="AP174" s="410"/>
      <c r="AQ174" s="410"/>
      <c r="AR174" s="410"/>
      <c r="AS174" s="442"/>
      <c r="AT174" s="413"/>
      <c r="AU174" s="414"/>
      <c r="AV174" s="410"/>
      <c r="AW174" s="415"/>
      <c r="AX174" s="416"/>
      <c r="AY174" s="416"/>
      <c r="AZ174" s="410"/>
      <c r="BA174" s="410"/>
      <c r="BB174" s="417"/>
      <c r="BC174" s="410"/>
      <c r="BD174" s="410"/>
      <c r="BE174" s="410"/>
      <c r="BF174" s="410"/>
      <c r="BG174" s="410"/>
    </row>
    <row r="177" spans="10:58" ht="334.5" customHeight="1" x14ac:dyDescent="0.35">
      <c r="J177" s="564" t="s">
        <v>833</v>
      </c>
      <c r="K177" s="564"/>
      <c r="L177" s="564"/>
      <c r="M177" s="564"/>
      <c r="N177" s="564"/>
      <c r="O177" s="564"/>
      <c r="P177" s="564"/>
      <c r="Q177" s="564"/>
      <c r="R177" s="564"/>
      <c r="S177" s="564"/>
      <c r="T177" s="564"/>
      <c r="U177" s="564"/>
      <c r="V177" s="564"/>
      <c r="W177" s="564"/>
      <c r="X177" s="564"/>
      <c r="Y177" s="564"/>
      <c r="Z177" s="564"/>
      <c r="AA177" s="564"/>
      <c r="AB177" s="564"/>
      <c r="AC177" s="456">
        <f>+(AC173+AC167+AC161+AC138+AC120+AC105+AC98+AC78+AC66+AC53)/10</f>
        <v>0.49547747634146078</v>
      </c>
      <c r="AD177" s="419"/>
      <c r="AE177" s="456">
        <f>+(AE173+AE167+AE161+AE138+AE120+AE105+AE98+AE78+AE66+AE53)/10</f>
        <v>0.63749300425911637</v>
      </c>
      <c r="AF177" s="564" t="s">
        <v>835</v>
      </c>
      <c r="AG177" s="564"/>
      <c r="AH177" s="564"/>
      <c r="AI177" s="564"/>
      <c r="AJ177" s="564"/>
      <c r="AK177" s="564"/>
      <c r="AL177" s="564"/>
      <c r="AM177" s="564"/>
      <c r="AN177" s="564"/>
      <c r="AO177" s="564"/>
      <c r="AP177" s="564"/>
      <c r="AQ177" s="564"/>
      <c r="AR177" s="564"/>
      <c r="AS177" s="456">
        <f>+(AS172+AS167+AS161+AS157+AS152+AS148+AS142+AS138+AS127+AS120+AS111+AS105+AS99+AS94+AS91+AS87+AS78+AS75+AS72+AS65+AS62+AS52+AS47+AS45+AS41+AS36+AS32+AS22+AS16+AS9)/30</f>
        <v>0.43713007861145736</v>
      </c>
      <c r="BB177" s="687" t="s">
        <v>839</v>
      </c>
      <c r="BC177" s="688"/>
      <c r="BD177" s="457">
        <f>+BD3+BD54+BD100+BD79+BD106+BD122+BD139+BD162+BD168</f>
        <v>663379240869</v>
      </c>
      <c r="BE177" s="457">
        <f>+BE3+BE54+BE100+BE79+BE106+BE122+BE139+BE162+BE168</f>
        <v>651751399765</v>
      </c>
      <c r="BF177" s="458">
        <f>+BE177/BD177</f>
        <v>0.98247180438029991</v>
      </c>
    </row>
    <row r="182" spans="10:58" ht="18.5" x14ac:dyDescent="0.35">
      <c r="AW182" s="169">
        <v>655151110287</v>
      </c>
    </row>
    <row r="183" spans="10:58" ht="18.5" x14ac:dyDescent="0.35">
      <c r="AW183" s="169">
        <v>701081233</v>
      </c>
    </row>
    <row r="184" spans="10:58" ht="18.5" x14ac:dyDescent="0.35">
      <c r="AW184" s="169">
        <v>908550195</v>
      </c>
    </row>
    <row r="185" spans="10:58" ht="18.5" x14ac:dyDescent="0.35">
      <c r="AW185" s="169">
        <v>1196281196</v>
      </c>
    </row>
    <row r="186" spans="10:58" ht="18.5" x14ac:dyDescent="0.35">
      <c r="AW186" s="169">
        <v>624000000</v>
      </c>
    </row>
    <row r="187" spans="10:58" ht="18.5" x14ac:dyDescent="0.35">
      <c r="AW187" s="169">
        <v>659680000</v>
      </c>
    </row>
    <row r="188" spans="10:58" ht="18.5" x14ac:dyDescent="0.35">
      <c r="AW188" s="169">
        <v>907258187</v>
      </c>
    </row>
    <row r="189" spans="10:58" ht="18.5" x14ac:dyDescent="0.35">
      <c r="AW189" s="169">
        <v>2971521808</v>
      </c>
    </row>
    <row r="190" spans="10:58" ht="18.5" x14ac:dyDescent="0.35">
      <c r="AW190" s="169">
        <v>900000000</v>
      </c>
    </row>
    <row r="191" spans="10:58" ht="18.5" x14ac:dyDescent="0.35">
      <c r="AW191" s="169">
        <v>382058179</v>
      </c>
    </row>
  </sheetData>
  <protectedRanges>
    <protectedRange sqref="AI137:AO138" name="Rango1_13_1_1_1"/>
    <protectedRange sqref="AP137:AS138" name="Rango1_13_1_1_1_1"/>
  </protectedRanges>
  <autoFilter ref="A2:BG2" xr:uid="{00000000-0009-0000-0000-000000000000}"/>
  <mergeCells count="442">
    <mergeCell ref="BB177:BC177"/>
    <mergeCell ref="BD139:BD161"/>
    <mergeCell ref="BE139:BE161"/>
    <mergeCell ref="BF139:BF161"/>
    <mergeCell ref="BD162:BD167"/>
    <mergeCell ref="J162:J167"/>
    <mergeCell ref="BE162:BE167"/>
    <mergeCell ref="BF162:BF167"/>
    <mergeCell ref="BD168:BD172"/>
    <mergeCell ref="BE168:BE172"/>
    <mergeCell ref="BF168:BF172"/>
    <mergeCell ref="AF162:AF167"/>
    <mergeCell ref="AG167:AR167"/>
    <mergeCell ref="AG162:AG166"/>
    <mergeCell ref="AH162:AH166"/>
    <mergeCell ref="AF168:AF172"/>
    <mergeCell ref="AG172:AR172"/>
    <mergeCell ref="AF177:AR177"/>
    <mergeCell ref="AG168:AG171"/>
    <mergeCell ref="AH168:AH171"/>
    <mergeCell ref="AF149:AF152"/>
    <mergeCell ref="AG149:AG151"/>
    <mergeCell ref="AH149:AH151"/>
    <mergeCell ref="AG152:AR152"/>
    <mergeCell ref="BF100:BF105"/>
    <mergeCell ref="BD106:BD121"/>
    <mergeCell ref="BE106:BE121"/>
    <mergeCell ref="BF106:BF121"/>
    <mergeCell ref="BD122:BD138"/>
    <mergeCell ref="BE122:BE138"/>
    <mergeCell ref="BF122:BF138"/>
    <mergeCell ref="J122:J138"/>
    <mergeCell ref="J106:J121"/>
    <mergeCell ref="J100:J105"/>
    <mergeCell ref="BD100:BD105"/>
    <mergeCell ref="BE100:BE105"/>
    <mergeCell ref="AF100:AF104"/>
    <mergeCell ref="AF105:AR105"/>
    <mergeCell ref="AH100:AH104"/>
    <mergeCell ref="AG100:AG104"/>
    <mergeCell ref="L109:L110"/>
    <mergeCell ref="M109:M110"/>
    <mergeCell ref="N109:N110"/>
    <mergeCell ref="O109:O110"/>
    <mergeCell ref="P109:P110"/>
    <mergeCell ref="R109:R110"/>
    <mergeCell ref="T109:T110"/>
    <mergeCell ref="U109:U110"/>
    <mergeCell ref="J79:J99"/>
    <mergeCell ref="BD3:BD52"/>
    <mergeCell ref="BE3:BE52"/>
    <mergeCell ref="BF3:BF52"/>
    <mergeCell ref="BD54:BD65"/>
    <mergeCell ref="BE54:BE65"/>
    <mergeCell ref="BF54:BF65"/>
    <mergeCell ref="BD67:BD78"/>
    <mergeCell ref="BE67:BE78"/>
    <mergeCell ref="BF67:BF78"/>
    <mergeCell ref="BD79:BD99"/>
    <mergeCell ref="BE79:BE99"/>
    <mergeCell ref="BF79:BF99"/>
    <mergeCell ref="AF95:AF99"/>
    <mergeCell ref="AG95:AG98"/>
    <mergeCell ref="AH95:AH98"/>
    <mergeCell ref="AG99:AR99"/>
    <mergeCell ref="AH87:AR87"/>
    <mergeCell ref="AF88:AF91"/>
    <mergeCell ref="AG88:AG90"/>
    <mergeCell ref="AH88:AH90"/>
    <mergeCell ref="AG91:AR91"/>
    <mergeCell ref="AF92:AF94"/>
    <mergeCell ref="AG92:AG93"/>
    <mergeCell ref="AF158:AF161"/>
    <mergeCell ref="AG158:AG160"/>
    <mergeCell ref="AH158:AH160"/>
    <mergeCell ref="AG161:AR161"/>
    <mergeCell ref="AS124:AS126"/>
    <mergeCell ref="AF127:AR127"/>
    <mergeCell ref="AF138:AR138"/>
    <mergeCell ref="AF139:AF142"/>
    <mergeCell ref="AG139:AG141"/>
    <mergeCell ref="AH139:AH141"/>
    <mergeCell ref="AG142:AR142"/>
    <mergeCell ref="AF143:AF148"/>
    <mergeCell ref="AG148:AR148"/>
    <mergeCell ref="AG143:AG147"/>
    <mergeCell ref="AH143:AH147"/>
    <mergeCell ref="AI145:AI147"/>
    <mergeCell ref="AJ145:AJ147"/>
    <mergeCell ref="AK145:AK147"/>
    <mergeCell ref="AL145:AL147"/>
    <mergeCell ref="AM145:AM147"/>
    <mergeCell ref="AP145:AP147"/>
    <mergeCell ref="AQ145:AQ147"/>
    <mergeCell ref="AR145:AR147"/>
    <mergeCell ref="AS145:AS147"/>
    <mergeCell ref="AF111:AR111"/>
    <mergeCell ref="AF112:AF120"/>
    <mergeCell ref="AG112:AG119"/>
    <mergeCell ref="AH112:AH119"/>
    <mergeCell ref="AG120:AR120"/>
    <mergeCell ref="AI124:AI126"/>
    <mergeCell ref="AJ124:AJ126"/>
    <mergeCell ref="AK124:AK126"/>
    <mergeCell ref="AL124:AL126"/>
    <mergeCell ref="AM124:AM126"/>
    <mergeCell ref="AN124:AN126"/>
    <mergeCell ref="AO124:AO126"/>
    <mergeCell ref="AP124:AP126"/>
    <mergeCell ref="AQ124:AQ126"/>
    <mergeCell ref="AR124:AR126"/>
    <mergeCell ref="AH92:AH93"/>
    <mergeCell ref="AG94:AR94"/>
    <mergeCell ref="AF73:AF75"/>
    <mergeCell ref="AG75:AR75"/>
    <mergeCell ref="AG73:AG74"/>
    <mergeCell ref="AH73:AH74"/>
    <mergeCell ref="AF76:AF78"/>
    <mergeCell ref="AG76:AG77"/>
    <mergeCell ref="AH76:AH77"/>
    <mergeCell ref="AG78:AR78"/>
    <mergeCell ref="AF79:AF86"/>
    <mergeCell ref="AG79:AG86"/>
    <mergeCell ref="AH79:AH86"/>
    <mergeCell ref="AF48:AF52"/>
    <mergeCell ref="AG52:AR52"/>
    <mergeCell ref="AF62:AR62"/>
    <mergeCell ref="AF63:AF65"/>
    <mergeCell ref="AG63:AG64"/>
    <mergeCell ref="AH63:AH64"/>
    <mergeCell ref="AG65:AR65"/>
    <mergeCell ref="AF67:AF72"/>
    <mergeCell ref="AG72:AR72"/>
    <mergeCell ref="AG67:AG71"/>
    <mergeCell ref="AH67:AH71"/>
    <mergeCell ref="AF54:AF61"/>
    <mergeCell ref="AG54:AG61"/>
    <mergeCell ref="AH54:AH61"/>
    <mergeCell ref="J177:AB177"/>
    <mergeCell ref="AF9:AR9"/>
    <mergeCell ref="AF16:AR16"/>
    <mergeCell ref="AF17:AF21"/>
    <mergeCell ref="AG17:AG21"/>
    <mergeCell ref="AH17:AH21"/>
    <mergeCell ref="AF22:AR22"/>
    <mergeCell ref="AF32:AR32"/>
    <mergeCell ref="AF33:AF35"/>
    <mergeCell ref="AG33:AG35"/>
    <mergeCell ref="AH33:AH35"/>
    <mergeCell ref="AF36:AR36"/>
    <mergeCell ref="AF37:AF40"/>
    <mergeCell ref="AG37:AG40"/>
    <mergeCell ref="AH37:AH40"/>
    <mergeCell ref="AF41:AR41"/>
    <mergeCell ref="AF42:AF44"/>
    <mergeCell ref="AG42:AG44"/>
    <mergeCell ref="AH42:AH44"/>
    <mergeCell ref="AF45:AR45"/>
    <mergeCell ref="AF106:AF110"/>
    <mergeCell ref="AG106:AG110"/>
    <mergeCell ref="AH106:AH110"/>
    <mergeCell ref="K109:K110"/>
    <mergeCell ref="E1:AU1"/>
    <mergeCell ref="J3:J51"/>
    <mergeCell ref="AF3:AF8"/>
    <mergeCell ref="AG3:AG8"/>
    <mergeCell ref="AH3:AH8"/>
    <mergeCell ref="K4:K8"/>
    <mergeCell ref="L4:L8"/>
    <mergeCell ref="M4:M8"/>
    <mergeCell ref="N4:N8"/>
    <mergeCell ref="O4:O8"/>
    <mergeCell ref="P4:P8"/>
    <mergeCell ref="X4:X8"/>
    <mergeCell ref="Y4:Y8"/>
    <mergeCell ref="AG48:AG51"/>
    <mergeCell ref="AH48:AH51"/>
    <mergeCell ref="Y24:Y31"/>
    <mergeCell ref="Z24:Z31"/>
    <mergeCell ref="AA24:AA31"/>
    <mergeCell ref="Z13:Z15"/>
    <mergeCell ref="O24:O31"/>
    <mergeCell ref="AD4:AD8"/>
    <mergeCell ref="AE4:AE8"/>
    <mergeCell ref="AB13:AB15"/>
    <mergeCell ref="AC13:AC15"/>
    <mergeCell ref="B3:B174"/>
    <mergeCell ref="C174:AB174"/>
    <mergeCell ref="A3:A174"/>
    <mergeCell ref="AF47:AR47"/>
    <mergeCell ref="AF23:AF31"/>
    <mergeCell ref="AG23:AG31"/>
    <mergeCell ref="AH23:AH31"/>
    <mergeCell ref="K24:K31"/>
    <mergeCell ref="L24:L31"/>
    <mergeCell ref="M24:M31"/>
    <mergeCell ref="N24:N31"/>
    <mergeCell ref="AF10:AF15"/>
    <mergeCell ref="AG10:AG15"/>
    <mergeCell ref="AH10:AH15"/>
    <mergeCell ref="K13:K15"/>
    <mergeCell ref="L13:L15"/>
    <mergeCell ref="M13:M15"/>
    <mergeCell ref="N13:N15"/>
    <mergeCell ref="O13:O15"/>
    <mergeCell ref="P13:P15"/>
    <mergeCell ref="X13:X15"/>
    <mergeCell ref="K19:K21"/>
    <mergeCell ref="L19:L21"/>
    <mergeCell ref="X24:X31"/>
    <mergeCell ref="AA109:AA110"/>
    <mergeCell ref="Y109:Y110"/>
    <mergeCell ref="AO112:AO114"/>
    <mergeCell ref="N115:N117"/>
    <mergeCell ref="P115:P117"/>
    <mergeCell ref="Q115:Q117"/>
    <mergeCell ref="R115:R117"/>
    <mergeCell ref="S115:S117"/>
    <mergeCell ref="AN112:AN114"/>
    <mergeCell ref="S112:S114"/>
    <mergeCell ref="T112:T114"/>
    <mergeCell ref="U112:U114"/>
    <mergeCell ref="V112:V114"/>
    <mergeCell ref="W112:W114"/>
    <mergeCell ref="N112:N114"/>
    <mergeCell ref="P112:P114"/>
    <mergeCell ref="Q112:Q114"/>
    <mergeCell ref="R112:R114"/>
    <mergeCell ref="AN115:AN117"/>
    <mergeCell ref="AO115:AO117"/>
    <mergeCell ref="AB112:AB119"/>
    <mergeCell ref="AC112:AC119"/>
    <mergeCell ref="AD112:AD119"/>
    <mergeCell ref="AE112:AE119"/>
    <mergeCell ref="U115:U117"/>
    <mergeCell ref="AA121:AA126"/>
    <mergeCell ref="V115:V117"/>
    <mergeCell ref="W115:W117"/>
    <mergeCell ref="O112:O119"/>
    <mergeCell ref="X112:X119"/>
    <mergeCell ref="Y112:Y119"/>
    <mergeCell ref="Z112:Z119"/>
    <mergeCell ref="AA112:AA119"/>
    <mergeCell ref="AC144:AC148"/>
    <mergeCell ref="AD144:AD148"/>
    <mergeCell ref="K138:AB138"/>
    <mergeCell ref="AA136:AA137"/>
    <mergeCell ref="Y136:Y137"/>
    <mergeCell ref="Z136:Z137"/>
    <mergeCell ref="AG153:AG156"/>
    <mergeCell ref="L136:L137"/>
    <mergeCell ref="M136:M137"/>
    <mergeCell ref="N136:N137"/>
    <mergeCell ref="O136:O137"/>
    <mergeCell ref="AF128:AF137"/>
    <mergeCell ref="AG128:AG137"/>
    <mergeCell ref="AE144:AE148"/>
    <mergeCell ref="AF153:AF157"/>
    <mergeCell ref="AG157:AR157"/>
    <mergeCell ref="AH153:AH156"/>
    <mergeCell ref="K164:K166"/>
    <mergeCell ref="L164:L166"/>
    <mergeCell ref="P136:P137"/>
    <mergeCell ref="X136:X137"/>
    <mergeCell ref="X121:X126"/>
    <mergeCell ref="Z121:Z126"/>
    <mergeCell ref="AF121:AF126"/>
    <mergeCell ref="AG121:AG126"/>
    <mergeCell ref="AH121:AH126"/>
    <mergeCell ref="AH128:AH137"/>
    <mergeCell ref="Y121:Y126"/>
    <mergeCell ref="AB121:AB126"/>
    <mergeCell ref="AC121:AC126"/>
    <mergeCell ref="AD121:AD126"/>
    <mergeCell ref="AE121:AE126"/>
    <mergeCell ref="AB136:AB137"/>
    <mergeCell ref="AC136:AC137"/>
    <mergeCell ref="AD136:AD137"/>
    <mergeCell ref="AE136:AE137"/>
    <mergeCell ref="K161:AB161"/>
    <mergeCell ref="AA144:AA148"/>
    <mergeCell ref="K136:K137"/>
    <mergeCell ref="P121:P126"/>
    <mergeCell ref="AD13:AD15"/>
    <mergeCell ref="AE13:AE15"/>
    <mergeCell ref="M19:M21"/>
    <mergeCell ref="O19:O21"/>
    <mergeCell ref="X19:X21"/>
    <mergeCell ref="Y19:Y21"/>
    <mergeCell ref="Z19:Z21"/>
    <mergeCell ref="AA19:AA21"/>
    <mergeCell ref="AB19:AB21"/>
    <mergeCell ref="AC19:AC21"/>
    <mergeCell ref="AD19:AD21"/>
    <mergeCell ref="AE19:AE21"/>
    <mergeCell ref="Y13:Y15"/>
    <mergeCell ref="AA13:AA15"/>
    <mergeCell ref="X33:X35"/>
    <mergeCell ref="Y33:Y35"/>
    <mergeCell ref="Z33:Z35"/>
    <mergeCell ref="AA33:AA35"/>
    <mergeCell ref="Z109:Z110"/>
    <mergeCell ref="Z4:Z8"/>
    <mergeCell ref="AA4:AA8"/>
    <mergeCell ref="AB4:AB8"/>
    <mergeCell ref="AC4:AC8"/>
    <mergeCell ref="X109:X110"/>
    <mergeCell ref="AA42:AA46"/>
    <mergeCell ref="AB42:AB46"/>
    <mergeCell ref="AC42:AC46"/>
    <mergeCell ref="AC49:AC51"/>
    <mergeCell ref="AB33:AB35"/>
    <mergeCell ref="AC33:AC35"/>
    <mergeCell ref="Y68:Y71"/>
    <mergeCell ref="Z68:Z71"/>
    <mergeCell ref="AA68:AA71"/>
    <mergeCell ref="AB68:AB71"/>
    <mergeCell ref="J66:AB66"/>
    <mergeCell ref="L63:L64"/>
    <mergeCell ref="M63:M64"/>
    <mergeCell ref="O63:O64"/>
    <mergeCell ref="AD49:AD51"/>
    <mergeCell ref="AE49:AE51"/>
    <mergeCell ref="AD42:AD46"/>
    <mergeCell ref="AE42:AE46"/>
    <mergeCell ref="AB24:AB31"/>
    <mergeCell ref="AC24:AC31"/>
    <mergeCell ref="AD24:AD31"/>
    <mergeCell ref="AE24:AE31"/>
    <mergeCell ref="K37:K40"/>
    <mergeCell ref="L37:L40"/>
    <mergeCell ref="M37:M40"/>
    <mergeCell ref="O37:O40"/>
    <mergeCell ref="X37:X40"/>
    <mergeCell ref="Y37:Y40"/>
    <mergeCell ref="Z37:Z40"/>
    <mergeCell ref="AA37:AA40"/>
    <mergeCell ref="AB37:AB40"/>
    <mergeCell ref="AC37:AC40"/>
    <mergeCell ref="AD37:AD40"/>
    <mergeCell ref="AE37:AE40"/>
    <mergeCell ref="K33:K35"/>
    <mergeCell ref="L33:L35"/>
    <mergeCell ref="M33:M35"/>
    <mergeCell ref="O33:O35"/>
    <mergeCell ref="M49:M51"/>
    <mergeCell ref="L49:L51"/>
    <mergeCell ref="K49:K51"/>
    <mergeCell ref="O49:O51"/>
    <mergeCell ref="X49:X51"/>
    <mergeCell ref="Y49:Y51"/>
    <mergeCell ref="Z49:Z51"/>
    <mergeCell ref="AA49:AA51"/>
    <mergeCell ref="AB49:AB51"/>
    <mergeCell ref="AD33:AD35"/>
    <mergeCell ref="AE33:AE35"/>
    <mergeCell ref="K58:K61"/>
    <mergeCell ref="L58:L61"/>
    <mergeCell ref="M58:M61"/>
    <mergeCell ref="O58:O61"/>
    <mergeCell ref="X58:X61"/>
    <mergeCell ref="Y58:Y61"/>
    <mergeCell ref="Z58:Z61"/>
    <mergeCell ref="AA58:AA61"/>
    <mergeCell ref="AB58:AB61"/>
    <mergeCell ref="AC58:AC61"/>
    <mergeCell ref="AD58:AD61"/>
    <mergeCell ref="AE58:AE61"/>
    <mergeCell ref="J53:AB53"/>
    <mergeCell ref="K42:K46"/>
    <mergeCell ref="L42:L46"/>
    <mergeCell ref="M42:M46"/>
    <mergeCell ref="O42:O46"/>
    <mergeCell ref="X42:X46"/>
    <mergeCell ref="Y42:Y46"/>
    <mergeCell ref="Z42:Z46"/>
    <mergeCell ref="J54:J64"/>
    <mergeCell ref="K63:K64"/>
    <mergeCell ref="X63:X64"/>
    <mergeCell ref="Y63:Y64"/>
    <mergeCell ref="Z63:Z64"/>
    <mergeCell ref="AA63:AA64"/>
    <mergeCell ref="AB63:AB64"/>
    <mergeCell ref="AC63:AC64"/>
    <mergeCell ref="AD63:AD64"/>
    <mergeCell ref="AE63:AE64"/>
    <mergeCell ref="K120:AB120"/>
    <mergeCell ref="AC68:AC71"/>
    <mergeCell ref="AD68:AD71"/>
    <mergeCell ref="AE68:AE71"/>
    <mergeCell ref="AC73:AC74"/>
    <mergeCell ref="AD73:AD74"/>
    <mergeCell ref="AE73:AE74"/>
    <mergeCell ref="K98:AB98"/>
    <mergeCell ref="K105:AB105"/>
    <mergeCell ref="AB109:AB110"/>
    <mergeCell ref="AC109:AC110"/>
    <mergeCell ref="AD109:AD110"/>
    <mergeCell ref="AE109:AE110"/>
    <mergeCell ref="K112:K119"/>
    <mergeCell ref="L112:L119"/>
    <mergeCell ref="M112:M119"/>
    <mergeCell ref="J67:J78"/>
    <mergeCell ref="K78:AB78"/>
    <mergeCell ref="K73:K74"/>
    <mergeCell ref="L73:L74"/>
    <mergeCell ref="M73:M74"/>
    <mergeCell ref="O73:O74"/>
    <mergeCell ref="X73:X74"/>
    <mergeCell ref="Y73:Y74"/>
    <mergeCell ref="Z73:Z74"/>
    <mergeCell ref="AA73:AA74"/>
    <mergeCell ref="AB73:AB74"/>
    <mergeCell ref="K68:K71"/>
    <mergeCell ref="L68:L71"/>
    <mergeCell ref="M68:M71"/>
    <mergeCell ref="O68:O71"/>
    <mergeCell ref="X68:X71"/>
    <mergeCell ref="J173:AB173"/>
    <mergeCell ref="AB144:AB148"/>
    <mergeCell ref="J168:J172"/>
    <mergeCell ref="J139:J161"/>
    <mergeCell ref="V109:V110"/>
    <mergeCell ref="K144:K148"/>
    <mergeCell ref="L144:L148"/>
    <mergeCell ref="M144:M148"/>
    <mergeCell ref="O144:O148"/>
    <mergeCell ref="X144:X148"/>
    <mergeCell ref="Y144:Y148"/>
    <mergeCell ref="Z144:Z148"/>
    <mergeCell ref="K167:AB167"/>
    <mergeCell ref="Q121:Q126"/>
    <mergeCell ref="R121:R126"/>
    <mergeCell ref="S121:S126"/>
    <mergeCell ref="T121:T126"/>
    <mergeCell ref="U121:U126"/>
    <mergeCell ref="K121:K126"/>
    <mergeCell ref="L121:L126"/>
    <mergeCell ref="M121:M126"/>
    <mergeCell ref="N121:N126"/>
    <mergeCell ref="O121:O126"/>
    <mergeCell ref="T115:T117"/>
  </mergeCells>
  <hyperlinks>
    <hyperlink ref="BG73" r:id="rId1" xr:uid="{00000000-0004-0000-0000-000000000000}"/>
    <hyperlink ref="BG89" r:id="rId2" xr:uid="{00000000-0004-0000-0000-000001000000}"/>
    <hyperlink ref="BG145" r:id="rId3" display="https://alcart-my.sharepoint.com/:f:/g/personal/etvdadis_cartagena_gov_co/EldOm2fg1LlCmg21FAz9q4gBCgKD9lztPf5thA_Apuq6EQ?e=tojqM4" xr:uid="{00000000-0004-0000-0000-000002000000}"/>
    <hyperlink ref="BG143" r:id="rId4" display="https://alcart-my.sharepoint.com/:f:/g/personal/etvdadis_cartagena_gov_co/EldOm2fg1LlCmg21FAz9q4gBCgKD9lztPf5thA_Apuq6EQ?e=tojqM4" xr:uid="{00000000-0004-0000-0000-00000300000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Seguimiemto DADIS Junio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LUZ  MARINA SEVERICHE MONROY</cp:lastModifiedBy>
  <dcterms:created xsi:type="dcterms:W3CDTF">2021-10-19T17:22:30Z</dcterms:created>
  <dcterms:modified xsi:type="dcterms:W3CDTF">2022-07-15T17:40:12Z</dcterms:modified>
</cp:coreProperties>
</file>