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Users\luzma\OneDrive\Escritorio\SEGUIMIENTOS PLANES DE ACCION A JUNIO 30 DE 2022\"/>
    </mc:Choice>
  </mc:AlternateContent>
  <xr:revisionPtr revIDLastSave="0" documentId="8_{5E80915C-E8BE-4551-9C2F-73EA55523E2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LAN DE ACCIÓN 2022" sheetId="1" r:id="rId1"/>
  </sheets>
  <definedNames>
    <definedName name="_Hlk49970378" localSheetId="0">'PLAN DE ACCIÓN 2022'!$AC$13</definedName>
    <definedName name="_xlnm.Print_Area" localSheetId="0">'PLAN DE ACCIÓN 2022'!$A$1:$AX$23</definedName>
    <definedName name="_xlnm.Print_Titles" localSheetId="0">'PLAN DE ACCIÓN 2022'!$1:$3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F11" i="1" l="1"/>
  <c r="AT23" i="1" l="1"/>
  <c r="AU21" i="1"/>
  <c r="AU20" i="1"/>
  <c r="AU19" i="1"/>
  <c r="AU15" i="1"/>
  <c r="AU13" i="1"/>
  <c r="AU9" i="1"/>
  <c r="AU6" i="1"/>
  <c r="AU4" i="1"/>
  <c r="AS23" i="1" l="1"/>
  <c r="AH21" i="1" l="1"/>
  <c r="AH20" i="1"/>
  <c r="AH19" i="1"/>
  <c r="AH15" i="1"/>
  <c r="AH16" i="1" s="1"/>
  <c r="AH13" i="1"/>
  <c r="AK11" i="1"/>
  <c r="AH11" i="1"/>
  <c r="AI9" i="1"/>
  <c r="AH9" i="1"/>
  <c r="AE9" i="1"/>
  <c r="AF9" i="1" s="1"/>
  <c r="AF12" i="1" s="1"/>
  <c r="Q9" i="1"/>
  <c r="P9" i="1"/>
  <c r="AH10" i="1"/>
  <c r="AE10" i="1"/>
  <c r="AF10" i="1" s="1"/>
  <c r="AI4" i="1"/>
  <c r="AE6" i="1"/>
  <c r="AF6" i="1" s="1"/>
  <c r="AH6" i="1"/>
  <c r="AH4" i="1"/>
  <c r="AE4" i="1"/>
  <c r="T21" i="1" l="1"/>
  <c r="AE21" i="1" s="1"/>
  <c r="AF21" i="1" s="1"/>
  <c r="T20" i="1"/>
  <c r="AE20" i="1" s="1"/>
  <c r="AF20" i="1" s="1"/>
  <c r="T19" i="1"/>
  <c r="AE19" i="1" s="1"/>
  <c r="AF19" i="1" s="1"/>
  <c r="AF22" i="1" s="1"/>
  <c r="U20" i="1" l="1"/>
  <c r="T15" i="1" l="1"/>
  <c r="AE15" i="1" s="1"/>
  <c r="T13" i="1"/>
  <c r="AE13" i="1" s="1"/>
  <c r="AF13" i="1" s="1"/>
  <c r="AF14" i="1" s="1"/>
  <c r="T11" i="1"/>
  <c r="T9" i="1"/>
  <c r="T6" i="1"/>
  <c r="T4" i="1"/>
  <c r="AE16" i="1" l="1"/>
  <c r="AF16" i="1" s="1"/>
  <c r="AF15" i="1"/>
  <c r="AF17" i="1" s="1"/>
  <c r="AO23" i="1"/>
  <c r="AU23" i="1" s="1"/>
  <c r="AI16" i="1" l="1"/>
  <c r="N4" i="1" l="1"/>
  <c r="N6" i="1"/>
  <c r="AI13" i="1" l="1"/>
  <c r="AI20" i="1" l="1"/>
  <c r="AI21" i="1"/>
  <c r="AI19" i="1"/>
  <c r="AI15" i="1"/>
  <c r="AK10" i="1"/>
  <c r="AK9" i="1"/>
  <c r="W4" i="1"/>
  <c r="AJ4" i="1" s="1"/>
  <c r="X4" i="1" l="1"/>
  <c r="F13" i="1"/>
  <c r="F9" i="1"/>
  <c r="F6" i="1"/>
  <c r="F4" i="1"/>
  <c r="W19" i="1" l="1"/>
  <c r="U19" i="1"/>
  <c r="U22" i="1" s="1"/>
  <c r="W11" i="1"/>
  <c r="W13" i="1"/>
  <c r="U13" i="1"/>
  <c r="W20" i="1"/>
  <c r="W9" i="1"/>
  <c r="AJ9" i="1" s="1"/>
  <c r="W21" i="1"/>
  <c r="U21" i="1"/>
  <c r="W6" i="1"/>
  <c r="W15" i="1"/>
  <c r="U15" i="1"/>
  <c r="V13" i="1" l="1"/>
  <c r="U14" i="1"/>
  <c r="V15" i="1"/>
  <c r="U17" i="1"/>
  <c r="V18" i="1"/>
  <c r="X20" i="1"/>
  <c r="X19" i="1"/>
  <c r="X15" i="1"/>
  <c r="AJ13" i="1"/>
  <c r="X21" i="1"/>
  <c r="X6" i="1"/>
  <c r="X11" i="1"/>
  <c r="X9" i="1"/>
  <c r="X13" i="1"/>
  <c r="N11" i="1"/>
  <c r="U6" i="1"/>
  <c r="X22" i="1" l="1"/>
  <c r="X12" i="1"/>
  <c r="Y13" i="1"/>
  <c r="X14" i="1"/>
  <c r="Y15" i="1"/>
  <c r="X17" i="1"/>
  <c r="Y4" i="1"/>
  <c r="X8" i="1"/>
  <c r="Y18" i="1"/>
  <c r="U11" i="1"/>
  <c r="Y9" i="1"/>
  <c r="M4" i="1"/>
  <c r="X23" i="1" l="1"/>
  <c r="Y23" i="1"/>
  <c r="U4" i="1"/>
  <c r="AD4" i="1"/>
  <c r="M9" i="1"/>
  <c r="AK4" i="1" l="1"/>
  <c r="AF4" i="1"/>
  <c r="AF8" i="1" s="1"/>
  <c r="AF23" i="1" s="1"/>
  <c r="V4" i="1"/>
  <c r="U8" i="1"/>
  <c r="U23" i="1" s="1"/>
  <c r="U9" i="1"/>
  <c r="U12" i="1" s="1"/>
  <c r="AK6" i="1"/>
  <c r="AK5" i="1"/>
  <c r="AK7" i="1"/>
  <c r="V9" i="1" l="1"/>
  <c r="V2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gaona.solano.javier@gmail.com</author>
  </authors>
  <commentList>
    <comment ref="M4" authorId="0" shapeId="0" xr:uid="{00000000-0006-0000-0000-000001000000}">
      <text>
        <r>
          <rPr>
            <b/>
            <sz val="12"/>
            <color rgb="FF000000"/>
            <rFont val="Tahoma"/>
            <family val="2"/>
          </rPr>
          <t xml:space="preserve">SUBSIDIOS 2021:
</t>
        </r>
        <r>
          <rPr>
            <b/>
            <sz val="12"/>
            <color rgb="FF000000"/>
            <rFont val="Tahoma"/>
            <family val="2"/>
          </rPr>
          <t xml:space="preserve">
</t>
        </r>
        <r>
          <rPr>
            <b/>
            <sz val="12"/>
            <color rgb="FF000000"/>
            <rFont val="Tahoma"/>
            <family val="2"/>
          </rPr>
          <t xml:space="preserve">    1 CLP 1 Y 2
</t>
        </r>
        <r>
          <rPr>
            <b/>
            <sz val="12"/>
            <color rgb="FF000000"/>
            <rFont val="Tahoma"/>
            <family val="2"/>
          </rPr>
          <t>149 CLP 3,4,5</t>
        </r>
      </text>
    </comment>
    <comment ref="N4" authorId="0" shapeId="0" xr:uid="{00000000-0006-0000-0000-000002000000}">
      <text>
        <r>
          <rPr>
            <b/>
            <sz val="12"/>
            <color rgb="FF000000"/>
            <rFont val="Tahoma"/>
            <family val="2"/>
          </rPr>
          <t xml:space="preserve">SUBSIDIOS 2022:
</t>
        </r>
        <r>
          <rPr>
            <b/>
            <sz val="12"/>
            <color rgb="FF000000"/>
            <rFont val="Tahoma"/>
            <family val="2"/>
          </rPr>
          <t xml:space="preserve">
</t>
        </r>
        <r>
          <rPr>
            <b/>
            <sz val="12"/>
            <color rgb="FF000000"/>
            <rFont val="Tahoma"/>
            <family val="2"/>
          </rPr>
          <t xml:space="preserve">  48 CLP 1 y 2
</t>
        </r>
        <r>
          <rPr>
            <b/>
            <sz val="12"/>
            <color rgb="FF000000"/>
            <rFont val="Tahoma"/>
            <family val="2"/>
          </rPr>
          <t xml:space="preserve">421 Presupeusto 2022
</t>
        </r>
        <r>
          <rPr>
            <b/>
            <sz val="12"/>
            <color rgb="FF000000"/>
            <rFont val="Tahoma"/>
            <family val="2"/>
          </rPr>
          <t xml:space="preserve">660 Convenio CVV-FVV
</t>
        </r>
        <r>
          <rPr>
            <b/>
            <sz val="12"/>
            <color rgb="FF000000"/>
            <rFont val="Tahoma"/>
            <family val="2"/>
          </rPr>
          <t xml:space="preserve">  45 Bahía San Carlos 2021
</t>
        </r>
        <r>
          <rPr>
            <b/>
            <sz val="12"/>
            <color rgb="FF000000"/>
            <rFont val="Tahoma"/>
            <family val="2"/>
          </rPr>
          <t>126 Bahía San carlos 2022</t>
        </r>
      </text>
    </comment>
    <comment ref="N6" authorId="0" shapeId="0" xr:uid="{00000000-0006-0000-0000-000003000000}">
      <text>
        <r>
          <rPr>
            <b/>
            <sz val="12"/>
            <color rgb="FF000000"/>
            <rFont val="Tahoma"/>
            <family val="2"/>
          </rPr>
          <t xml:space="preserve">VIVIENDAS INICIADAS 2022:
</t>
        </r>
        <r>
          <rPr>
            <b/>
            <sz val="12"/>
            <color rgb="FF000000"/>
            <rFont val="Tahoma"/>
            <family val="2"/>
          </rPr>
          <t xml:space="preserve">
</t>
        </r>
        <r>
          <rPr>
            <b/>
            <sz val="12"/>
            <color rgb="FF000000"/>
            <rFont val="Tahoma"/>
            <family val="2"/>
          </rPr>
          <t xml:space="preserve">374 Presupuesto 2022
</t>
        </r>
        <r>
          <rPr>
            <b/>
            <sz val="12"/>
            <color rgb="FF000000"/>
            <rFont val="Tahoma"/>
            <family val="2"/>
          </rPr>
          <t xml:space="preserve">700 Convenio CVV-FVV
</t>
        </r>
        <r>
          <rPr>
            <b/>
            <sz val="12"/>
            <color rgb="FF000000"/>
            <rFont val="Tahoma"/>
            <family val="2"/>
          </rPr>
          <t>126 Bahía San carlos</t>
        </r>
      </text>
    </comment>
    <comment ref="M9" authorId="0" shapeId="0" xr:uid="{00000000-0006-0000-0000-000004000000}">
      <text>
        <r>
          <rPr>
            <b/>
            <sz val="12"/>
            <color rgb="FF000000"/>
            <rFont val="Tahoma"/>
            <family val="2"/>
          </rPr>
          <t xml:space="preserve">MEJORAMIENTO URBANO 2021:
</t>
        </r>
        <r>
          <rPr>
            <b/>
            <sz val="12"/>
            <color rgb="FF000000"/>
            <rFont val="Tahoma"/>
            <family val="2"/>
          </rPr>
          <t xml:space="preserve">
</t>
        </r>
        <r>
          <rPr>
            <b/>
            <sz val="12"/>
            <color rgb="FF000000"/>
            <rFont val="Tahoma"/>
            <family val="2"/>
          </rPr>
          <t xml:space="preserve">228 PROGRAMA CDVD
</t>
        </r>
        <r>
          <rPr>
            <b/>
            <sz val="12"/>
            <color rgb="FF000000"/>
            <rFont val="Tahoma"/>
            <family val="2"/>
          </rPr>
          <t>296 RECURSOS PROPIOS</t>
        </r>
        <r>
          <rPr>
            <sz val="12"/>
            <color rgb="FF000000"/>
            <rFont val="Tahoma"/>
            <family val="2"/>
          </rPr>
          <t xml:space="preserve">
</t>
        </r>
      </text>
    </comment>
    <comment ref="N9" authorId="0" shapeId="0" xr:uid="{00000000-0006-0000-0000-000005000000}">
      <text>
        <r>
          <rPr>
            <b/>
            <sz val="12"/>
            <color rgb="FF000000"/>
            <rFont val="Tahoma"/>
            <family val="2"/>
          </rPr>
          <t xml:space="preserve">MEJORAMIENTO URBANO 2022:
</t>
        </r>
        <r>
          <rPr>
            <b/>
            <sz val="12"/>
            <color rgb="FF000000"/>
            <rFont val="Tahoma"/>
            <family val="2"/>
          </rPr>
          <t xml:space="preserve">
</t>
        </r>
        <r>
          <rPr>
            <b/>
            <sz val="12"/>
            <color rgb="FF000000"/>
            <rFont val="Tahoma"/>
            <family val="2"/>
          </rPr>
          <t>1.136 PROGRAMA CDVD</t>
        </r>
      </text>
    </comment>
    <comment ref="M11" authorId="0" shapeId="0" xr:uid="{00000000-0006-0000-0000-000006000000}">
      <text>
        <r>
          <rPr>
            <b/>
            <sz val="12"/>
            <color rgb="FF000000"/>
            <rFont val="Tahoma"/>
            <family val="2"/>
          </rPr>
          <t xml:space="preserve">MEJORAMIENTO RURAL 2021:
</t>
        </r>
        <r>
          <rPr>
            <b/>
            <sz val="12"/>
            <color rgb="FF000000"/>
            <rFont val="Tahoma"/>
            <family val="2"/>
          </rPr>
          <t xml:space="preserve">
</t>
        </r>
        <r>
          <rPr>
            <b/>
            <sz val="12"/>
            <color rgb="FF000000"/>
            <rFont val="Tahoma"/>
            <family val="2"/>
          </rPr>
          <t>8 FIDUAGRARIA</t>
        </r>
      </text>
    </comment>
    <comment ref="N11" authorId="0" shapeId="0" xr:uid="{00000000-0006-0000-0000-000007000000}">
      <text>
        <r>
          <rPr>
            <b/>
            <sz val="12"/>
            <color rgb="FF000000"/>
            <rFont val="Tahoma"/>
            <family val="2"/>
          </rPr>
          <t xml:space="preserve">MEJORAMIENTO RURAL 2022:
</t>
        </r>
        <r>
          <rPr>
            <b/>
            <sz val="12"/>
            <color rgb="FF000000"/>
            <rFont val="Tahoma"/>
            <family val="2"/>
          </rPr>
          <t xml:space="preserve">
</t>
        </r>
        <r>
          <rPr>
            <b/>
            <sz val="12"/>
            <color rgb="FF000000"/>
            <rFont val="Tahoma"/>
            <family val="2"/>
          </rPr>
          <t>100 PRESUPUESTO 2022</t>
        </r>
        <r>
          <rPr>
            <sz val="12"/>
            <color rgb="FF000000"/>
            <rFont val="Tahoma"/>
            <family val="2"/>
          </rPr>
          <t xml:space="preserve">
</t>
        </r>
        <r>
          <rPr>
            <sz val="12"/>
            <color rgb="FF000000"/>
            <rFont val="Tahoma"/>
            <family val="2"/>
          </rPr>
          <t xml:space="preserve">  </t>
        </r>
        <r>
          <rPr>
            <b/>
            <sz val="12"/>
            <color rgb="FF000000"/>
            <rFont val="Tahoma"/>
            <family val="2"/>
          </rPr>
          <t xml:space="preserve">15 FIDUAGRARIA
</t>
        </r>
        <r>
          <rPr>
            <b/>
            <sz val="12"/>
            <color rgb="FF000000"/>
            <rFont val="Tahoma"/>
            <family val="2"/>
          </rPr>
          <t>230 VIVIENDA RURAL MVCT</t>
        </r>
      </text>
    </comment>
    <comment ref="M13" authorId="0" shapeId="0" xr:uid="{00000000-0006-0000-0000-000008000000}">
      <text>
        <r>
          <rPr>
            <b/>
            <sz val="12"/>
            <color rgb="FF000000"/>
            <rFont val="Tahoma"/>
            <family val="2"/>
          </rPr>
          <t xml:space="preserve">TITULACIÓN 2021:
</t>
        </r>
        <r>
          <rPr>
            <b/>
            <sz val="12"/>
            <color rgb="FF000000"/>
            <rFont val="Tahoma"/>
            <family val="2"/>
          </rPr>
          <t xml:space="preserve">
</t>
        </r>
        <r>
          <rPr>
            <b/>
            <sz val="12"/>
            <color rgb="FF000000"/>
            <rFont val="Tahoma"/>
            <family val="2"/>
          </rPr>
          <t>115 EL POZÓN</t>
        </r>
        <r>
          <rPr>
            <sz val="12"/>
            <color rgb="FF000000"/>
            <rFont val="Tahoma"/>
            <family val="2"/>
          </rPr>
          <t xml:space="preserve">
</t>
        </r>
        <r>
          <rPr>
            <sz val="12"/>
            <color rgb="FF000000"/>
            <rFont val="Tahoma"/>
            <family val="2"/>
          </rPr>
          <t xml:space="preserve">  </t>
        </r>
        <r>
          <rPr>
            <b/>
            <sz val="12"/>
            <color rgb="FF000000"/>
            <rFont val="Tahoma"/>
            <family val="2"/>
          </rPr>
          <t xml:space="preserve">18 LAS AMERICAS
</t>
        </r>
        <r>
          <rPr>
            <b/>
            <sz val="12"/>
            <color rgb="FF000000"/>
            <rFont val="Tahoma"/>
            <family val="2"/>
          </rPr>
          <t xml:space="preserve">  12 NUEVO PARAISO
</t>
        </r>
        <r>
          <rPr>
            <b/>
            <sz val="12"/>
            <color rgb="FF000000"/>
            <rFont val="Tahoma"/>
            <family val="2"/>
          </rPr>
          <t xml:space="preserve">  12 PASACABALLOS 1ro. AGO
</t>
        </r>
        <r>
          <rPr>
            <b/>
            <sz val="12"/>
            <color rgb="FF000000"/>
            <rFont val="Tahoma"/>
            <family val="2"/>
          </rPr>
          <t xml:space="preserve">  24 MANZANA 72</t>
        </r>
      </text>
    </comment>
    <comment ref="N13" authorId="0" shapeId="0" xr:uid="{00000000-0006-0000-0000-000009000000}">
      <text>
        <r>
          <rPr>
            <b/>
            <sz val="12"/>
            <color rgb="FF000000"/>
            <rFont val="Tahoma"/>
            <family val="2"/>
          </rPr>
          <t xml:space="preserve">TITULACIÓN 2022:
</t>
        </r>
        <r>
          <rPr>
            <b/>
            <sz val="12"/>
            <color rgb="FF000000"/>
            <rFont val="Tahoma"/>
            <family val="2"/>
          </rPr>
          <t xml:space="preserve">
</t>
        </r>
        <r>
          <rPr>
            <b/>
            <sz val="12"/>
            <color rgb="FF000000"/>
            <rFont val="Tahoma"/>
            <family val="2"/>
          </rPr>
          <t xml:space="preserve">  310 EL POZÓN
</t>
        </r>
        <r>
          <rPr>
            <b/>
            <sz val="12"/>
            <color rgb="FF000000"/>
            <rFont val="Tahoma"/>
            <family val="2"/>
          </rPr>
          <t xml:space="preserve">    42 LAS AMERICAS
</t>
        </r>
        <r>
          <rPr>
            <b/>
            <sz val="12"/>
            <color rgb="FF000000"/>
            <rFont val="Tahoma"/>
            <family val="2"/>
          </rPr>
          <t xml:space="preserve">    65 NUEVO PARAISO
</t>
        </r>
        <r>
          <rPr>
            <b/>
            <sz val="12"/>
            <color rgb="FF000000"/>
            <rFont val="Tahoma"/>
            <family val="2"/>
          </rPr>
          <t xml:space="preserve">    21 LA GLORIA I
</t>
        </r>
        <r>
          <rPr>
            <b/>
            <sz val="12"/>
            <color rgb="FF000000"/>
            <rFont val="Tahoma"/>
            <family val="2"/>
          </rPr>
          <t xml:space="preserve">    21 LUIS CARLOS GALÁN
</t>
        </r>
        <r>
          <rPr>
            <b/>
            <sz val="12"/>
            <color rgb="FF000000"/>
            <rFont val="Tahoma"/>
            <family val="2"/>
          </rPr>
          <t xml:space="preserve">    27 SAN PEDRO MARTIR
</t>
        </r>
        <r>
          <rPr>
            <b/>
            <sz val="12"/>
            <color rgb="FF000000"/>
            <rFont val="Tahoma"/>
            <family val="2"/>
          </rPr>
          <t xml:space="preserve">  100 SANTA MARÍA
</t>
        </r>
        <r>
          <rPr>
            <b/>
            <sz val="12"/>
            <color rgb="FF000000"/>
            <rFont val="Tahoma"/>
            <family val="2"/>
          </rPr>
          <t xml:space="preserve">    33 NAZARENO
</t>
        </r>
        <r>
          <rPr>
            <b/>
            <sz val="12"/>
            <color rgb="FF000000"/>
            <rFont val="Tahoma"/>
            <family val="2"/>
          </rPr>
          <t xml:space="preserve">    25 SIMÓN BOLIVAR
</t>
        </r>
        <r>
          <rPr>
            <b/>
            <sz val="12"/>
            <color rgb="FF000000"/>
            <rFont val="Tahoma"/>
            <family val="2"/>
          </rPr>
          <t xml:space="preserve">    15 LA CAROLINA
</t>
        </r>
        <r>
          <rPr>
            <b/>
            <sz val="12"/>
            <color rgb="FF000000"/>
            <rFont val="Tahoma"/>
            <family val="2"/>
          </rPr>
          <t xml:space="preserve">    16 CIUDADELA 2000
</t>
        </r>
        <r>
          <rPr>
            <b/>
            <sz val="12"/>
            <color rgb="FF000000"/>
            <rFont val="Tahoma"/>
            <family val="2"/>
          </rPr>
          <t xml:space="preserve">    17 LA ESMERALDA
</t>
        </r>
        <r>
          <rPr>
            <b/>
            <sz val="12"/>
            <color rgb="FF000000"/>
            <rFont val="Tahoma"/>
            <family val="2"/>
          </rPr>
          <t xml:space="preserve">  115 MANZANA 72
</t>
        </r>
        <r>
          <rPr>
            <b/>
            <sz val="12"/>
            <color rgb="FF000000"/>
            <rFont val="Tahoma"/>
            <family val="2"/>
          </rPr>
          <t xml:space="preserve">
</t>
        </r>
        <r>
          <rPr>
            <b/>
            <sz val="12"/>
            <color rgb="FF000000"/>
            <rFont val="Tahoma"/>
            <family val="34"/>
          </rPr>
          <t>2512 EL POZÓN - CLP</t>
        </r>
        <r>
          <rPr>
            <sz val="12"/>
            <color rgb="FF000000"/>
            <rFont val="Tahoma"/>
            <family val="34"/>
          </rPr>
          <t xml:space="preserve"> </t>
        </r>
      </text>
    </comment>
  </commentList>
</comments>
</file>

<file path=xl/sharedStrings.xml><?xml version="1.0" encoding="utf-8"?>
<sst xmlns="http://schemas.openxmlformats.org/spreadsheetml/2006/main" count="314" uniqueCount="192">
  <si>
    <t>PILAR</t>
  </si>
  <si>
    <t xml:space="preserve">PROGRAMA </t>
  </si>
  <si>
    <t xml:space="preserve">DEPENDENCIA RESPONSABLE </t>
  </si>
  <si>
    <t>NOMBRE DEL RESPONSABLE</t>
  </si>
  <si>
    <t xml:space="preserve">RESILIENTE </t>
  </si>
  <si>
    <t xml:space="preserve">VIVIENDA PARA TODOS </t>
  </si>
  <si>
    <t>JUNTOS POR UNA VIVIENDA DIGNA</t>
  </si>
  <si>
    <t xml:space="preserve">MEJORO MI CASA  COMPROMISO DE TODOS </t>
  </si>
  <si>
    <t>NÚMERO DE SUBSIDIOS DE VIVIENDA NUEVA ADJUDICADOS</t>
  </si>
  <si>
    <t>ND</t>
  </si>
  <si>
    <t>UN LUGAR APTO PARA MI HOGAR</t>
  </si>
  <si>
    <t xml:space="preserve">DIRECCIÓN  TÉCNICA </t>
  </si>
  <si>
    <t>CONSTRUIR INFORMACIÓN DE VALOR PARA LA CREACIÓN Y SEGUIMIENTO DE POLÍTICAS PÚBLICAS DEL SECTOR VIVIENDA EN EL DISTRITO TURÍSTICO Y CULTURAL DE CARTAGENA DE INDIAS</t>
  </si>
  <si>
    <t xml:space="preserve">NÚMERO DE VIVIENDAS INICIADAS </t>
  </si>
  <si>
    <t>NP</t>
  </si>
  <si>
    <t>INDICADOR DE BIENESTAR</t>
  </si>
  <si>
    <t>INDICADOR DE PRODUCTO</t>
  </si>
  <si>
    <t>DESCRIPCIÓN DE LA META PRODUCTO 2020-2023</t>
  </si>
  <si>
    <t>VALOR ABSOLUTO DE LA META PRODUCTO 
2020-2023</t>
  </si>
  <si>
    <t>OBJETIVO DEL PROYECTO</t>
  </si>
  <si>
    <t>FUENTE DE FINANCIACIÓN</t>
  </si>
  <si>
    <t>CÓDIGO PRESUPUESTAL</t>
  </si>
  <si>
    <t xml:space="preserve">
REDUCIR EL DÉFICIT HABITACIONAL CUANTITATIVO DE LA POBLACIÓN VULNERABLE OBJETIVO DEL DISTRITO TURÍSTICO Y CULTURAL DE CARTAGENA DE INDIAS.
</t>
  </si>
  <si>
    <t>REDUCIR EL DÉFICIT HABITACIONAL CUALITATIVO DE LOS HOGARES CON NECESIDADES BÁSICAS INSATISFECHAS DE HABITABILIDAD DEL DISTRITO TURÍSTICO Y CULTURAL DE CARTAGENA DE INDIAS.</t>
  </si>
  <si>
    <t>REDUCIR EL DÉFICIT DE LEGALIZACIÓN Y TITULACIÓN DE PREDIOS EN SITUACIÓN DE ILEGALIDAD EN EL DISTRITO TURÍSTICO Y CULTURAL DE CARTAGENA DE INDIAS.</t>
  </si>
  <si>
    <t>PROYECTO</t>
  </si>
  <si>
    <t>APLICACIÓN A SUBSIDIOS E INICIACIÓN DE VIVIENDAS PARA LA POBLACIÓN BENEFICIADA DEL PROGRAMA JUNTOS POR UNA VIVIENDA DIGNA DE LA CIUDAD DE CARTAGENA DE INDIAS</t>
  </si>
  <si>
    <t>MEJORAMIENTO DE LAS CONDICIONES DE HABITABILIDAD PARA LA POBLACIÓN BENEFICIADA DEL SECTOR URBANO Y RURAL DEL PROGRAMA MEJOR MI CASA COMPROMISO DE TODOS DEL DISTRITO DE CARTAGENA DE INDIAS</t>
  </si>
  <si>
    <t>TITULACIÓN Y/O LEGALIZACIÓN DE PREDIOS PARA LA POBLACIÓN BENEFICIADA DEL PROGRAMA MI CASA A LO LEGAL DE LA CIUDAD DE CARTAGENA DE INDIAS</t>
  </si>
  <si>
    <t>BPIN - 2020130010152</t>
  </si>
  <si>
    <t>BPIN - 2020130010153</t>
  </si>
  <si>
    <t>BPIN - 2020130010154</t>
  </si>
  <si>
    <t>BPIN - 2020130010306</t>
  </si>
  <si>
    <t>BPIN - 2020130010308</t>
  </si>
  <si>
    <t>BPIN - 2020130010307</t>
  </si>
  <si>
    <t>META DE BIENESTAR 
2020-2023</t>
  </si>
  <si>
    <t>ARQUITECTA ELVIA CABALLERO</t>
  </si>
  <si>
    <t>APROPIACIÓN DEFINITIVA 
(EN PESOS)</t>
  </si>
  <si>
    <t>RUBRO
PRESUPUESTAL</t>
  </si>
  <si>
    <t>DISMINUCIÓN DE 10,9% DEL DÉFICIT CUANTITATIVO DE VIVIENDA CON VIVIENDAS INICIADAS
(4.000)</t>
  </si>
  <si>
    <t xml:space="preserve">VIVIENDAS INICIADAS </t>
  </si>
  <si>
    <t>19.258
VIVIENDAS</t>
  </si>
  <si>
    <t>36.794
HOGARES
SIN
VIVIENDA</t>
  </si>
  <si>
    <t>DISMINUCIÓN DE 23,4% DEL DÉFICIT CUALITATIVO DE VIVIENDA
(4.500)</t>
  </si>
  <si>
    <t xml:space="preserve">NÚMERO DE VIVIENDAS MEJORADAS SECTOR URBANO </t>
  </si>
  <si>
    <t>NÚMERO DE VIVIENDAS MEJORADAS SECTOR RURAL</t>
  </si>
  <si>
    <t>VIVIENDAS MEJORADAS EN ZONA URBANA DEL DISTRITO DE CARTAGENA</t>
  </si>
  <si>
    <t>VIVIENDAS MEJORADAS EN ZONA RURAL E INSULAR DEL DISTRITO DE CARTAGENA</t>
  </si>
  <si>
    <t>14.770
VIVIENDAS</t>
  </si>
  <si>
    <t>DISMINUCIÓN DE 30,5% DEL DÉFICIT DE LEGALIZACIÓN Y TITULACIÓN DE PREDIOS
(4.500)</t>
  </si>
  <si>
    <t>¡MI CASA A LO LEGAL!</t>
  </si>
  <si>
    <t xml:space="preserve">PREDIOS LEGALIZADOS Y/O TITULADOS EN EL DISTRITO DE CARTAGENA </t>
  </si>
  <si>
    <t>NÚMERO DE INSTRUMENTOS Y/O DIAGNÓSTICOS QUE IDENTIFIQUEN ÁREAS DISPONIBLES PARA LA CONSTRUCCIÓN DE VIVIENDAS VIS Y/O VIP</t>
  </si>
  <si>
    <t>DOCUMENTOS TÉCNICOS, INSTRUMENTOS Y/O DIAGNÓSTICOS DESTINADOS A IDENTIFICAR SUELO DISPONIBLE PARA LA CONSTRUCCIÓN DE VIVIENDAS VIS Y/O VIP EN EL DISTRITO DE CARTAGENA DE INDIAS</t>
  </si>
  <si>
    <t xml:space="preserve">NÚMERO DE DOCUMENTOS TÉCNICOS DE SOPORTE DTS ELABORADOS PARA LA LEGALIZACIÓN URBANÍSTICA A REALIZARSE </t>
  </si>
  <si>
    <t xml:space="preserve">FORMULACIÓN Y/O PARTICIPACIÓN EN INSTRUMENTOS DE PLANEACIÓN Y/O GESTIÓN URBANÍSTICA QUE DESARROLLEN EL POT </t>
  </si>
  <si>
    <t xml:space="preserve">NÚMERO DE ESTUDIOS Y SEGUIMIENTOS PARA LA CONFORMACIÓN DE LA LÍNEA ESTRATÉGICA DE ESTUDIOS DE VIVIENDA VIS </t>
  </si>
  <si>
    <t>REALIZAR INFORME DE ESTUDIO Y SEGUIMIENTO DE INVESTIGACIÓN DEL SECTOR VIVIENDA DEL DISTRITO DE CARTAGENA DE INDIAS</t>
  </si>
  <si>
    <t xml:space="preserve">Fecha de 
Inicio </t>
  </si>
  <si>
    <t>LÍNEA ESTRATÉGICA</t>
  </si>
  <si>
    <t>LÍNEA BASE
2019</t>
  </si>
  <si>
    <t xml:space="preserve">DÉFICIT CUANTITATIVO DE VIVIENDA DISMINUIDO  EN EL DISTRITO DE CARTAGENA </t>
  </si>
  <si>
    <t>DISMINUCIÓN DE 13,6% DEL DÉFICIT CUANTITATIVO DE VIVIENDA CON SUBSIDIOS ADJUDICADOS
(5.000)</t>
  </si>
  <si>
    <t xml:space="preserve">ADJUDICACIÓN DE SUBSIDIOS DISTRITALES DE VIVIENDA PARA LA POBLACIÓN DE LOS ESTRATOS 1, 2 Y 3 </t>
  </si>
  <si>
    <t xml:space="preserve">DÉFICIT CUALITATIVO DE VIVIENDA DISMINUIDO  EN EL DISTRITO DE CARTAGENA </t>
  </si>
  <si>
    <t xml:space="preserve">DÉFICIT  DE LEGALIZACIÓN Y TITULACIÓN DE PREDIOS  DISMINUIDO EN EL DISTRITO DE CARTAGENA </t>
  </si>
  <si>
    <t>NUMERO DE PREDIOS LEGALIZADOS Y/O TITULADOS</t>
  </si>
  <si>
    <t xml:space="preserve"> TRAMITAR Y OTORGAR TÍTULOS DE PROPIEDAD</t>
  </si>
  <si>
    <t xml:space="preserve">OFICINA ASESORA JURÍDICA </t>
  </si>
  <si>
    <t>ABOGADA 
ISABEL DÍAZ</t>
  </si>
  <si>
    <t xml:space="preserve">NÚMERO DE HECTÁREAS DE TIERRAS APTAS PARA LA CONSTRUCCIÓŃN DE VIVIENDA NUEVA </t>
  </si>
  <si>
    <t xml:space="preserve">ADQUISICIÓŃN DE HECTÁREAS IDENTIFICADAS PARA LA CONSTRUCCIÓŃN DE VIVIENDAS VIS Y/O VIP EN EL DISTRITO DE CARTAGENA DE INDIAS </t>
  </si>
  <si>
    <t>ESTUDIOS Y SEGUIMIENTO PARA LA CONFORMACIÓN DE LA LÍNEA ESTRATÉGICA DE ESTUDIOS DE VIVIENDA VIS QUE SE ARTICULARÁ EN EL OBSERVATORIO DISTRITAL</t>
  </si>
  <si>
    <t>ELABORACIÓN DE ESTUDIOS SECTORIALES Y SEGUIMIENTO A LA LÍNEA ESTRATÉGICA DE VIVIENDA A TRAVÉS DE UN OBSERVATORIO DE VIVIENDA DE INTERÉS SOCIAL DEL PROGRAMA MI CASA, MI ENTORNO, MI HÁBITAT DE LA CIUDAD DE CARTAGENA DE INDIAS</t>
  </si>
  <si>
    <t>ELABORACIÓN DE DOCUMENTOS TÉCNICOS DE SOPORTE DTS PARA LA LEGALIZACIÓN URBANÍSTICA A REALIZARSE</t>
  </si>
  <si>
    <t>ELABORACIÓN DE ESTUDIOS Y TRÁMITES DE LEGALIZACIÓN URBANÍSTICA DE BARRIOS DEL PROGRAMA MI CASA, MI ENTORNO, MI HÁBITAT, EN LA CIUDAD DE CARTAGENA DE INDIAS</t>
  </si>
  <si>
    <t>AUMENTAR LA DISPONIBILIDAD DE BARRIOS CON PROCESOS DE LEGALIZACIÓN URBANÍSTICA PARA QUE PUEDAN ACCEDER A LA OFERTA DE PROYECTOS DE MEJORAMIENTO DE VIVIENDA Y TITULACIÓN DE PREDIOS EN EL DISTRITO TURÍSTICO Y CULTURAL DE CARTAGENA DE INDIAS</t>
  </si>
  <si>
    <t>ELABORACIÓN DE ESTUDIOS PARA LA FORMULACIÓN Y/O PARTICIPACIÓN EN PLANES PARCIALES DEL PROGRAMA MI CASA, MI ENTORNO, MI HÁBITAT DE LA CIUDAD DE CARTAGENA DE INDIAS</t>
  </si>
  <si>
    <t>FORMULAR PLANES PARCIALES PARA VIVIENDA DE INTERÉS SOCIAL QUE CONTRIBUYAN A DISMINUIR EL DÉFICIT HABITACIONAL CUANTITATIVO DEL DISTRITO TURÍSTICO Y CULTURAL DE CARTAGENA DE INDIAS</t>
  </si>
  <si>
    <t>CÓDIGO DE PROYECTO BPIN</t>
  </si>
  <si>
    <t>FORMULACIÓN Y/O PARTICIPACIÓN EN INSTRUMENTOS DE PLANEACIÓN Y/O GESTIÓN URBANÍSTICA QUE DESARROLLE EL POT (PLAN PARCIAL)</t>
  </si>
  <si>
    <t>UNIDAD DE MEDIDA DEL INDICADOR DE PRODUCTO</t>
  </si>
  <si>
    <t>PROGRAMACIÓN META A
2022</t>
  </si>
  <si>
    <t>VALOR ABSOLUTO DE LA ACTIVIDAD DEL PROYECTO
2022</t>
  </si>
  <si>
    <t>Beneficiarios Programados</t>
  </si>
  <si>
    <t>Beneficiarios Cubiertos</t>
  </si>
  <si>
    <t>FUENTE PRESUPUESTAL</t>
  </si>
  <si>
    <t>TIPO DE CONTRATACIÓN</t>
  </si>
  <si>
    <t>FECHA DE INICIO CONTRATACIÓN</t>
  </si>
  <si>
    <t>ELABORACIÓN DE DOCUMENTO TÉCNICO, INSTRUMENTO Y/O DIAGNÓSTICO Y ADQUISICIÓN DE TIERRAS POR ENAJENACIÓN, EXPROPIACIÓN O EXTINCIÓN DE DOMINIO APTAS PARA LA CONSTRUCCIÓN DE VIVIENDAS DE INTERÉS SOCIAL EN LA CIUDAD DE CARTAGENA DE INDIAS</t>
  </si>
  <si>
    <t>BPIN - 2020130010167</t>
  </si>
  <si>
    <t xml:space="preserve">AUMENTAR EN CORVIVIENDA EL NÚMERO DE HECTÁREAS DE TIERRAS IDENTIFICADAS COMO APTAS PARA LA CONSTRUCCIÓN DE VIVIENDAS DE INTERÉS SOCIAL. </t>
  </si>
  <si>
    <t>SUBSIDIOS FAMILIARES DE VIVIENDA ASIGNADOS</t>
  </si>
  <si>
    <t>VIVIENDAS
MEJORADAS</t>
  </si>
  <si>
    <t>VIVIENDAS MEJORADAS</t>
  </si>
  <si>
    <t>PREDIOS LEGALIZADOS Y/O TITULADOS</t>
  </si>
  <si>
    <t>DOCUMENTO TÉCNICO, INSTRUMENTO Y/O DIAGNÓSTICO</t>
  </si>
  <si>
    <t>HECTÁREAS</t>
  </si>
  <si>
    <t>INFORME DE ESTUDIO Y SEGUIMIENTO</t>
  </si>
  <si>
    <t>DOCUMENTO TÉCNICO DE SOPORTE</t>
  </si>
  <si>
    <t xml:space="preserve">NÚMERO DE DOCUMENTOS, ESTUDIOS O INFORMES REALIZADOS PARA LA MEDICIÓN INTEGRAL DE LAS NECESIDADES HABITACIONALES (MINH) </t>
  </si>
  <si>
    <t>DOCUMENTO GENERAL E INFORMES DE SEGUIMIENTO</t>
  </si>
  <si>
    <t>DOCUMENTO GENERAL E INFORMES DE SEGUIMIENTO PARA LA MEDICIÓN DE LAS NECESIDADES HABITACIONALES (MINH)</t>
  </si>
  <si>
    <t>ELABORACIÓN DE ESTUDIOS DIAGNÓSTICOS PARA LA MEDICIÓN INTEGRAL DE LAS NECESIDADES HABITACIONALES DE LA POBLACIÓN MENOS FAVORECIDA PROGRAMA MI CASA, MI ENTORNO, MI HÁBITAT DEL DISTRITO DE CARTAGENA DE INDIAS</t>
  </si>
  <si>
    <t>BPIN - 2020130010156</t>
  </si>
  <si>
    <t>REALIZAR MEDICIÓN INTEGRAL DE LAS NECESIDADES HABITACIONALES –MINH- Y PLAN MAESTRO DE VIVIENDA DE CARTAGENA, COMO RESULTADO DE UN PROCESO DE INVESTIGACIÓN SOCIOECONÓMICA, JURÍDICA Y FÍSICO ESPACIAL.</t>
  </si>
  <si>
    <t>INVERSIÓN</t>
  </si>
  <si>
    <t>ENERO
2022</t>
  </si>
  <si>
    <t>SI</t>
  </si>
  <si>
    <t xml:space="preserve"> REALIZAR  MEJORAS DE VIVIENDA EN EL MARCO DEL PROGRAMA "CASA DIGNA, VIDA DIGNA"</t>
  </si>
  <si>
    <t>VERIFICAR INICIO DE OBRAS UNIDADES HABITACIONALES  CON SUBSIDIOS ASIGNADOS VIGENCIA  2022</t>
  </si>
  <si>
    <t>NO</t>
  </si>
  <si>
    <t>MI CASA,
MI ENTORNO,
MI HÁBITAT</t>
  </si>
  <si>
    <t>OFICINA ASESORA DE PLANEACIÓN</t>
  </si>
  <si>
    <t>ADMINISTRADOR CARLOS FERNÁNDEZ</t>
  </si>
  <si>
    <t xml:space="preserve">ELABORAR  DOCUMENTOS TÉCNICOS DE SOPORTE  PARA LEGALIZACIÓN URBANÍSTICA DE BARRIOS QUE CUMPLAN CON LOS CRITERIOS DE PROCEDENCIA  </t>
  </si>
  <si>
    <t>ELABORAR DOCUMENTO DE LINEAMIENTOS TÉCNICOS</t>
  </si>
  <si>
    <t>FORMULAR Y/O PARTICIPAR EN INSTRUMENTOS DE PLANEACIÓN Y/O GESTIÓN URBANÍSTICA QUE DESARROLLEN PARA EL NUEVO POT</t>
  </si>
  <si>
    <t>VERIFICAR INICIO DE OBRAS UNIDADES HABITACIONALES EN EL MARCO DEL PROYECTO BAHÍA SAN CARLOS T2</t>
  </si>
  <si>
    <t>FEBRERO
2022</t>
  </si>
  <si>
    <t>2.3.4001.1400.2020130010152</t>
  </si>
  <si>
    <t>1.2.2.0.00-39-ICDE-CORVIVIENDA 15% IPU</t>
  </si>
  <si>
    <t>APLICACIÓN A SUBSIDIOS FAMILIARES DE VIVIENDA PARA LA POBLACIÓN BENEFICIADA DEL PROGRAMA JUNTOS POR UNA VIVIENDA DIGNA DE LA CIUDAD DE CARTAGENA DE INDIAS</t>
  </si>
  <si>
    <t>1.2.2.0.00-001-ICLD</t>
  </si>
  <si>
    <t>VIVIENDAS INICIADAS PARA POBREZA EXTREMA. CLASE TRABAJADORA, VÍCTIMAS DEL CONFLICTO ARMANDO, REINCORPORADOS Y AFECTADOS POR OLA INVERNAL, FALLAS GEOLÓGICAS Y OTROS DESASTRES</t>
  </si>
  <si>
    <t>REALIZAR  MEJORAS DE VIVIENDA EN EL  BARRIO EL POZÓN CON RECURSOS PROPIOS</t>
  </si>
  <si>
    <t xml:space="preserve"> REALIZAR  MEJORAS DE VIVIENDA EN EL SECTOR RURAL CORREGIMIENTOS DE LA JURISDICCIÓN</t>
  </si>
  <si>
    <t>ENERO 
2022</t>
  </si>
  <si>
    <t>MEJORAMIENTO DE LAS CONDICIONES DE HABITABILIDAD PARA LA POBLACIÓN BENEFICIADA DEL SECTOR URBANO Y RURAL DEL PROGRAMA MEJORO MI CADA COMPROMISO DE TODOS DEL DISTRITO DE CARTAGENA DE INDIAS</t>
  </si>
  <si>
    <t>2.3.4001.1400.2020130010153</t>
  </si>
  <si>
    <t>TITULACION Y/O LEGALIZACIÓN DE PREDIOS PARA LA POBLACIÓN BENEFICIADA DEL PROGRAMA MI CASA A LO LEGAL DE LA CIUDAD DE CARTAGENA DE INDIAS</t>
  </si>
  <si>
    <t>2.3.4001.1400.2020130010154</t>
  </si>
  <si>
    <t>CONTRATACIÓN DIRECTA</t>
  </si>
  <si>
    <t>ELABORACIÓN DE DTS Y ADQUISICIÓN DE TIERRAS POR ENAJENACIÓN, EXPROPIACION, EXTINCIÓN DE DOMINIO Y/O COMPRAVENTA PARA LA CONSTRUCCIÓN DE  VIVIENDA VIS/VIP DEL PROGRAMA UN LUGAR APTO PARA MI HOGAR DE LA CIUDAD DE CARTAGENA DE INDIAS</t>
  </si>
  <si>
    <t>2.3.4001.1400.2021130010167</t>
  </si>
  <si>
    <t>CONCURSO DE MÉRITOS ABIERTO</t>
  </si>
  <si>
    <r>
      <t xml:space="preserve">ELABORADO:   </t>
    </r>
    <r>
      <rPr>
        <b/>
        <sz val="10"/>
        <color theme="1"/>
        <rFont val="Calibri (Cuerpo)"/>
      </rPr>
      <t>OFICINA ASESORA DE PLANEACIÓN</t>
    </r>
  </si>
  <si>
    <t>2.3.4002.1400.2020130010306</t>
  </si>
  <si>
    <t>2.3.4002.1400.2020130010308</t>
  </si>
  <si>
    <t>2.3.4002.1400.2020130010307</t>
  </si>
  <si>
    <t>INSTRUMENTO DE PLANEACIÓN Y/O GESTIÓN URBANÍSTICA</t>
  </si>
  <si>
    <t>CONTRATACIÓN DIRECTA
PAGO FACTURAS</t>
  </si>
  <si>
    <t>SEGUIMIENTO PLAN DE ACCIÓN 2022
FONDO DE VIVIENDA DE INTERÉS SOCIAL Y REFORMA URBANA DISTRITAL "CORVIVIENDA"</t>
  </si>
  <si>
    <t>NA</t>
  </si>
  <si>
    <t>AVANCE META DE BIENESTAR MARZO 2022</t>
  </si>
  <si>
    <t>AVANCE META PRODUCTO 
2022</t>
  </si>
  <si>
    <t>LINEA BASE
2019
SEGÚN PDD</t>
  </si>
  <si>
    <t>META
REZAGADA
A 2021</t>
  </si>
  <si>
    <t>ACUMULADO META PRODUCTO A 2020-2021</t>
  </si>
  <si>
    <t>REPORTE META PRODUCTO
EJECUTADO DE ENERO 1 A MARZO 31 DE 2022</t>
  </si>
  <si>
    <t>REPORTE META PRODUCTO
EJECUTADO DE JULIO 1 A SEPTIEMBRE 30 DE 2022</t>
  </si>
  <si>
    <t>REPORTE META PRODUCTO
EJECUTADO DE OCTUBRE 1 A DICIEMBRE 31 DE 2022</t>
  </si>
  <si>
    <t>% AVANCE DE LAS METAS A 2022</t>
  </si>
  <si>
    <t>AVANCE METAS PRODUCTOS  EN EL CUATRIENIO</t>
  </si>
  <si>
    <t>% AVANCE DE LAS METAS EN EL CUATRIENIO</t>
  </si>
  <si>
    <t>ACTIVIDADES DEL PROYECTO</t>
  </si>
  <si>
    <t>Tiempo de Ejecución
(número de días)</t>
  </si>
  <si>
    <t>Porcentaje de Participación de la Actividad en el Proyecto</t>
  </si>
  <si>
    <t>REQUIERE CONTRATACIÓN</t>
  </si>
  <si>
    <t>OBSERVACIONES</t>
  </si>
  <si>
    <t>SEPTIEMBRE
2022</t>
  </si>
  <si>
    <t>22 MARZO
2022</t>
  </si>
  <si>
    <t>MAYO
2022</t>
  </si>
  <si>
    <t>28 MARZO
2022</t>
  </si>
  <si>
    <t>% AVANCE DEL PROGRAMA EN EL CUATRIENIO</t>
  </si>
  <si>
    <t>% AVANCE CUATRIENIO</t>
  </si>
  <si>
    <t xml:space="preserve">% AVANCE DEL PROGRAMA  2022 </t>
  </si>
  <si>
    <t>ASIGNAR SFV COMPLEMENTARIOS CLP 1 (49) - CLP 3,4,5 (149) - BAHÍA SAN CARLOS (171) - INVERSION 2022 (421) - CONVENIO FVV-CVV (660)</t>
  </si>
  <si>
    <r>
      <t xml:space="preserve">FECHA ACTUALIZACIÓN INFORMACIÓN   </t>
    </r>
    <r>
      <rPr>
        <b/>
        <sz val="12"/>
        <color theme="1"/>
        <rFont val="Calibri (Cuerpo)"/>
      </rPr>
      <t>DÍA: 30  MES: JUNIO   AÑO: 2022</t>
    </r>
  </si>
  <si>
    <t>REPORTE META PRODUCTO
EJECUTADO DE ABRIL 1 A 
JUNIO 30 DE 
2022</t>
  </si>
  <si>
    <t>REPORTE ACTIVIDAD DE PROYECTO
EJECUTADO DE ENE 1 A JUN 30 DE 2022</t>
  </si>
  <si>
    <t>TERMINACIÓN  Y ENTREGA UNIDADES HABITACIONALES EN EL MARCO DEL PROYECTO CLP  3, 4, 5 Y REUBICACIÓN SAN FRANCISCO</t>
  </si>
  <si>
    <t>PAGO FACTURAS</t>
  </si>
  <si>
    <t>CONTRATACIÓN DIRECTA
ADICIONAL CONCURSO DE MÉRITOS</t>
  </si>
  <si>
    <t>CONTRATACIÓN DIRECTA
ADICIONAL CONCURSO DE MÉRITOS ABIERTO</t>
  </si>
  <si>
    <t>REPORTE EJECUCIÓN PRESUPUESTAL CORVIVIENDA</t>
  </si>
  <si>
    <t>REPORTE EJECUCIÓN PRESUPUESTAL SEGUN PLANEACION</t>
  </si>
  <si>
    <t>AVANCE EJECUCION PRESUPUESTAL SEGÚN PLANEACION</t>
  </si>
  <si>
    <t>AVANCE DEL PROGRAMA JUNTOS POR UNA VIVIENDA DIGNA</t>
  </si>
  <si>
    <t>AVANCE PROYECTOS DEL PROGRAMA JUNTOS POR UNA VIVIENDA DIGNA</t>
  </si>
  <si>
    <t>AVANCE ACTIVIDAD DE PROYECTO
EJECUTADO DE ENE 1 A JUNIO DE 2022</t>
  </si>
  <si>
    <t xml:space="preserve">AVANCE DEL PROGRAMA MEJORO MI CASA  COMPROMISO DE TODOS </t>
  </si>
  <si>
    <t xml:space="preserve">AVANCE PROYECTO DEL PROGRAMA MEJORO MI CASA  COMPROMISO DE TODOS </t>
  </si>
  <si>
    <t>AVANCE DEL PROGRAMA ¡MI CASA A LO LEGAL!</t>
  </si>
  <si>
    <t>AVANCE DEL PROYECTO DEL PROGRAMA ¡MI CASA A LO LEGAL!</t>
  </si>
  <si>
    <t>AVANCE PROGRAMA UN LUGAR APTO PARA MI HOGAR</t>
  </si>
  <si>
    <t>AVANCE DEL PROGRAMA MI CASA, MI ENTORNO MI HABITAT</t>
  </si>
  <si>
    <t>AVANCE PLAN DE DESARROLLO CORVIVIENDA AJUNIO 30 DE 2022</t>
  </si>
  <si>
    <t>AVANCE DE PROYECTOS  DEL PROGRAMA MI CASA, MI ENTORNO MI HABITAT</t>
  </si>
  <si>
    <t>AVANCE DEL PROYECTO DEL PROGRAMA UN LUGAR APTO PARA MI HOGAR</t>
  </si>
  <si>
    <t>AVANCE PLAN DE ACCION JUNIO 2022</t>
  </si>
  <si>
    <t>PRESUPUESTO DE INVERSIÓN JUNIO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</si>
</sst>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&quot;$&quot;* #,##0_-;\-&quot;$&quot;* #,##0_-;_-&quot;$&quot;* &quot;-&quot;_-;_-@_-"/>
    <numFmt numFmtId="165" formatCode="_-&quot;$&quot;* #,##0.00_-;\-&quot;$&quot;* #,##0.00_-;_-&quot;$&quot;* &quot;-&quot;??_-;_-@_-"/>
    <numFmt numFmtId="166" formatCode="_-* #,##0_-;\-* #,##0_-;_-* &quot;-&quot;??_-;_-@_-"/>
    <numFmt numFmtId="167" formatCode="_-&quot;$&quot;* #,##0_-;\-&quot;$&quot;* #,##0_-;_-&quot;$&quot;* &quot;-&quot;??_-;_-@_-"/>
    <numFmt numFmtId="168" formatCode="#,##0.0"/>
    <numFmt numFmtId="169" formatCode="_-&quot;$&quot;* #,##0.00_-;\-&quot;$&quot;* #,##0.00_-;_-&quot;$&quot;* &quot;-&quot;_-;_-@_-"/>
  </numFmts>
  <fonts count="44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 (Cuerpo)"/>
    </font>
    <font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name val="Calibri"/>
      <family val="2"/>
      <scheme val="minor"/>
    </font>
    <font>
      <sz val="16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24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0000"/>
      <name val="Tahoma"/>
      <family val="2"/>
    </font>
    <font>
      <sz val="12"/>
      <color rgb="FF000000"/>
      <name val="Tahoma"/>
      <family val="2"/>
    </font>
    <font>
      <b/>
      <sz val="12"/>
      <color rgb="FF000000"/>
      <name val="Tahoma"/>
      <family val="34"/>
    </font>
    <font>
      <sz val="12"/>
      <color rgb="FF000000"/>
      <name val="Tahoma"/>
      <family val="34"/>
    </font>
    <font>
      <b/>
      <sz val="10"/>
      <color rgb="FFC00000"/>
      <name val="Calibri"/>
      <family val="2"/>
      <scheme val="minor"/>
    </font>
    <font>
      <b/>
      <sz val="10"/>
      <color theme="1"/>
      <name val="Calibri (Cuerpo)"/>
    </font>
    <font>
      <b/>
      <sz val="10"/>
      <color theme="1"/>
      <name val="Arial"/>
      <family val="2"/>
    </font>
    <font>
      <sz val="18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5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theme="1"/>
      </right>
      <top/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theme="1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theme="1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theme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349">
    <xf numFmtId="0" fontId="0" fillId="0" borderId="0" xfId="0"/>
    <xf numFmtId="0" fontId="14" fillId="0" borderId="0" xfId="0" applyFont="1" applyFill="1" applyAlignment="1">
      <alignment horizontal="center"/>
    </xf>
    <xf numFmtId="164" fontId="22" fillId="0" borderId="2" xfId="2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3" fontId="24" fillId="0" borderId="1" xfId="0" applyNumberFormat="1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3" fontId="24" fillId="0" borderId="8" xfId="0" applyNumberFormat="1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left" vertical="center" wrapText="1"/>
    </xf>
    <xf numFmtId="0" fontId="21" fillId="0" borderId="14" xfId="0" applyFont="1" applyFill="1" applyBorder="1" applyAlignment="1">
      <alignment horizontal="center" vertical="center" wrapText="1"/>
    </xf>
    <xf numFmtId="3" fontId="24" fillId="0" borderId="14" xfId="0" applyNumberFormat="1" applyFont="1" applyFill="1" applyBorder="1" applyAlignment="1">
      <alignment horizontal="center" vertical="center" wrapText="1"/>
    </xf>
    <xf numFmtId="164" fontId="22" fillId="0" borderId="14" xfId="2" applyNumberFormat="1" applyFont="1" applyFill="1" applyBorder="1" applyAlignment="1">
      <alignment horizontal="center" vertical="center" wrapText="1"/>
    </xf>
    <xf numFmtId="167" fontId="22" fillId="0" borderId="14" xfId="2" applyNumberFormat="1" applyFont="1" applyFill="1" applyBorder="1" applyAlignment="1">
      <alignment horizontal="center" vertical="center" wrapText="1"/>
    </xf>
    <xf numFmtId="3" fontId="23" fillId="0" borderId="2" xfId="0" applyNumberFormat="1" applyFont="1" applyFill="1" applyBorder="1" applyAlignment="1">
      <alignment horizontal="center" vertical="center" wrapText="1"/>
    </xf>
    <xf numFmtId="3" fontId="25" fillId="0" borderId="2" xfId="0" applyNumberFormat="1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10" fontId="25" fillId="0" borderId="2" xfId="0" applyNumberFormat="1" applyFont="1" applyFill="1" applyBorder="1" applyAlignment="1">
      <alignment horizontal="center" vertical="center" wrapText="1"/>
    </xf>
    <xf numFmtId="167" fontId="22" fillId="0" borderId="2" xfId="2" applyNumberFormat="1" applyFont="1" applyFill="1" applyBorder="1" applyAlignment="1">
      <alignment horizontal="center" vertical="center" wrapText="1"/>
    </xf>
    <xf numFmtId="10" fontId="23" fillId="0" borderId="0" xfId="3" applyNumberFormat="1" applyFont="1" applyFill="1" applyAlignment="1">
      <alignment horizontal="center"/>
    </xf>
    <xf numFmtId="10" fontId="23" fillId="0" borderId="10" xfId="3" applyNumberFormat="1" applyFont="1" applyFill="1" applyBorder="1" applyAlignment="1">
      <alignment horizontal="center" vertical="center" wrapText="1"/>
    </xf>
    <xf numFmtId="10" fontId="22" fillId="0" borderId="4" xfId="3" applyNumberFormat="1" applyFont="1" applyFill="1" applyBorder="1" applyAlignment="1">
      <alignment horizontal="center" vertical="center" wrapText="1"/>
    </xf>
    <xf numFmtId="10" fontId="23" fillId="0" borderId="8" xfId="0" applyNumberFormat="1" applyFont="1" applyFill="1" applyBorder="1" applyAlignment="1">
      <alignment horizontal="center" vertical="center" wrapText="1"/>
    </xf>
    <xf numFmtId="10" fontId="23" fillId="0" borderId="14" xfId="0" applyNumberFormat="1" applyFont="1" applyFill="1" applyBorder="1" applyAlignment="1">
      <alignment horizontal="center" vertical="center" wrapText="1"/>
    </xf>
    <xf numFmtId="9" fontId="24" fillId="0" borderId="14" xfId="3" applyNumberFormat="1" applyFont="1" applyFill="1" applyBorder="1" applyAlignment="1">
      <alignment horizontal="center" vertical="center" wrapText="1"/>
    </xf>
    <xf numFmtId="10" fontId="22" fillId="0" borderId="21" xfId="3" applyNumberFormat="1" applyFont="1" applyFill="1" applyBorder="1" applyAlignment="1">
      <alignment horizontal="center" vertical="center" wrapText="1"/>
    </xf>
    <xf numFmtId="3" fontId="24" fillId="0" borderId="4" xfId="0" applyNumberFormat="1" applyFont="1" applyFill="1" applyBorder="1" applyAlignment="1">
      <alignment horizontal="center" vertical="center" wrapText="1"/>
    </xf>
    <xf numFmtId="9" fontId="24" fillId="0" borderId="4" xfId="0" applyNumberFormat="1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3" fontId="24" fillId="0" borderId="2" xfId="0" applyNumberFormat="1" applyFont="1" applyFill="1" applyBorder="1" applyAlignment="1">
      <alignment horizontal="center" vertical="center" wrapText="1"/>
    </xf>
    <xf numFmtId="3" fontId="24" fillId="0" borderId="21" xfId="0" applyNumberFormat="1" applyFont="1" applyFill="1" applyBorder="1" applyAlignment="1">
      <alignment horizontal="center" vertical="center" wrapText="1"/>
    </xf>
    <xf numFmtId="164" fontId="22" fillId="0" borderId="21" xfId="2" applyNumberFormat="1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9" fontId="24" fillId="0" borderId="21" xfId="0" applyNumberFormat="1" applyFont="1" applyFill="1" applyBorder="1" applyAlignment="1">
      <alignment horizontal="center" vertical="center" wrapText="1"/>
    </xf>
    <xf numFmtId="167" fontId="2" fillId="0" borderId="4" xfId="2" applyNumberFormat="1" applyFont="1" applyFill="1" applyBorder="1" applyAlignment="1">
      <alignment horizontal="center" vertical="center" wrapText="1"/>
    </xf>
    <xf numFmtId="167" fontId="2" fillId="0" borderId="21" xfId="2" applyNumberFormat="1" applyFont="1" applyFill="1" applyBorder="1" applyAlignment="1">
      <alignment horizontal="center" vertical="center" wrapText="1"/>
    </xf>
    <xf numFmtId="4" fontId="23" fillId="0" borderId="2" xfId="0" applyNumberFormat="1" applyFont="1" applyFill="1" applyBorder="1" applyAlignment="1">
      <alignment horizontal="center" vertical="center" wrapText="1"/>
    </xf>
    <xf numFmtId="4" fontId="25" fillId="0" borderId="2" xfId="0" applyNumberFormat="1" applyFont="1" applyFill="1" applyBorder="1" applyAlignment="1">
      <alignment horizontal="center" vertical="center" wrapText="1"/>
    </xf>
    <xf numFmtId="4" fontId="24" fillId="0" borderId="4" xfId="0" applyNumberFormat="1" applyFont="1" applyFill="1" applyBorder="1" applyAlignment="1">
      <alignment horizontal="center" vertical="center" wrapText="1"/>
    </xf>
    <xf numFmtId="4" fontId="24" fillId="0" borderId="2" xfId="0" applyNumberFormat="1" applyFont="1" applyFill="1" applyBorder="1" applyAlignment="1">
      <alignment horizontal="center" vertical="center" wrapText="1"/>
    </xf>
    <xf numFmtId="9" fontId="24" fillId="0" borderId="2" xfId="0" applyNumberFormat="1" applyFont="1" applyFill="1" applyBorder="1" applyAlignment="1">
      <alignment horizontal="center" vertical="center" wrapText="1"/>
    </xf>
    <xf numFmtId="3" fontId="23" fillId="0" borderId="4" xfId="0" applyNumberFormat="1" applyFont="1" applyFill="1" applyBorder="1" applyAlignment="1">
      <alignment horizontal="center" vertical="center" wrapText="1"/>
    </xf>
    <xf numFmtId="3" fontId="23" fillId="0" borderId="1" xfId="0" applyNumberFormat="1" applyFont="1" applyFill="1" applyBorder="1" applyAlignment="1">
      <alignment horizontal="center" vertical="center" wrapText="1"/>
    </xf>
    <xf numFmtId="10" fontId="23" fillId="0" borderId="14" xfId="3" applyNumberFormat="1" applyFont="1" applyFill="1" applyBorder="1" applyAlignment="1">
      <alignment horizontal="center" vertical="center" wrapText="1"/>
    </xf>
    <xf numFmtId="10" fontId="23" fillId="0" borderId="4" xfId="0" applyNumberFormat="1" applyFont="1" applyFill="1" applyBorder="1" applyAlignment="1">
      <alignment horizontal="center" vertical="center" wrapText="1"/>
    </xf>
    <xf numFmtId="10" fontId="23" fillId="0" borderId="1" xfId="0" applyNumberFormat="1" applyFont="1" applyFill="1" applyBorder="1" applyAlignment="1">
      <alignment horizontal="center" vertical="center" wrapText="1"/>
    </xf>
    <xf numFmtId="10" fontId="23" fillId="0" borderId="2" xfId="0" applyNumberFormat="1" applyFont="1" applyFill="1" applyBorder="1" applyAlignment="1">
      <alignment horizontal="center" vertical="center" wrapText="1"/>
    </xf>
    <xf numFmtId="10" fontId="23" fillId="0" borderId="21" xfId="3" applyNumberFormat="1" applyFont="1" applyFill="1" applyBorder="1" applyAlignment="1">
      <alignment horizontal="center" vertical="center" wrapText="1"/>
    </xf>
    <xf numFmtId="3" fontId="23" fillId="0" borderId="8" xfId="0" applyNumberFormat="1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64" fontId="22" fillId="0" borderId="4" xfId="2" applyNumberFormat="1" applyFont="1" applyFill="1" applyBorder="1" applyAlignment="1">
      <alignment horizontal="center" vertical="center" wrapText="1"/>
    </xf>
    <xf numFmtId="10" fontId="23" fillId="0" borderId="22" xfId="3" applyNumberFormat="1" applyFont="1" applyFill="1" applyBorder="1" applyAlignment="1">
      <alignment horizontal="center" vertical="center" wrapText="1"/>
    </xf>
    <xf numFmtId="3" fontId="23" fillId="0" borderId="22" xfId="0" applyNumberFormat="1" applyFont="1" applyFill="1" applyBorder="1" applyAlignment="1">
      <alignment horizontal="center" vertical="center" wrapText="1"/>
    </xf>
    <xf numFmtId="10" fontId="23" fillId="0" borderId="22" xfId="0" applyNumberFormat="1" applyFont="1" applyFill="1" applyBorder="1" applyAlignment="1">
      <alignment horizontal="center" vertical="center" wrapText="1"/>
    </xf>
    <xf numFmtId="0" fontId="21" fillId="0" borderId="22" xfId="0" applyFont="1" applyFill="1" applyBorder="1" applyAlignment="1">
      <alignment horizontal="center" vertical="center" wrapText="1"/>
    </xf>
    <xf numFmtId="164" fontId="22" fillId="0" borderId="22" xfId="2" applyNumberFormat="1" applyFont="1" applyFill="1" applyBorder="1" applyAlignment="1">
      <alignment horizontal="center" vertical="center" wrapText="1"/>
    </xf>
    <xf numFmtId="0" fontId="22" fillId="0" borderId="22" xfId="0" applyFont="1" applyFill="1" applyBorder="1" applyAlignment="1">
      <alignment horizontal="center" vertical="center" wrapText="1"/>
    </xf>
    <xf numFmtId="14" fontId="24" fillId="0" borderId="29" xfId="0" applyNumberFormat="1" applyFont="1" applyFill="1" applyBorder="1" applyAlignment="1">
      <alignment horizontal="center" vertical="center" wrapText="1"/>
    </xf>
    <xf numFmtId="10" fontId="38" fillId="0" borderId="1" xfId="0" applyNumberFormat="1" applyFont="1" applyFill="1" applyBorder="1" applyAlignment="1">
      <alignment horizontal="center" vertical="center" wrapText="1"/>
    </xf>
    <xf numFmtId="0" fontId="36" fillId="0" borderId="34" xfId="0" applyFont="1" applyFill="1" applyBorder="1" applyAlignment="1">
      <alignment horizontal="center" vertical="center" wrapText="1"/>
    </xf>
    <xf numFmtId="3" fontId="24" fillId="0" borderId="22" xfId="0" applyNumberFormat="1" applyFont="1" applyFill="1" applyBorder="1" applyAlignment="1">
      <alignment horizontal="center" vertical="center" wrapText="1"/>
    </xf>
    <xf numFmtId="10" fontId="39" fillId="0" borderId="1" xfId="0" applyNumberFormat="1" applyFont="1" applyFill="1" applyBorder="1" applyAlignment="1">
      <alignment horizontal="center" vertical="center" wrapText="1"/>
    </xf>
    <xf numFmtId="3" fontId="40" fillId="0" borderId="14" xfId="0" applyNumberFormat="1" applyFont="1" applyFill="1" applyBorder="1" applyAlignment="1">
      <alignment horizontal="center" vertical="center" wrapText="1"/>
    </xf>
    <xf numFmtId="9" fontId="24" fillId="0" borderId="1" xfId="3" applyFont="1" applyFill="1" applyBorder="1" applyAlignment="1">
      <alignment horizontal="center" vertical="center" wrapText="1"/>
    </xf>
    <xf numFmtId="9" fontId="24" fillId="0" borderId="4" xfId="3" applyFont="1" applyFill="1" applyBorder="1" applyAlignment="1">
      <alignment horizontal="center" vertical="center" wrapText="1"/>
    </xf>
    <xf numFmtId="9" fontId="24" fillId="0" borderId="22" xfId="3" applyFont="1" applyFill="1" applyBorder="1" applyAlignment="1">
      <alignment horizontal="center" vertical="center" wrapText="1"/>
    </xf>
    <xf numFmtId="9" fontId="40" fillId="0" borderId="22" xfId="3" applyFont="1" applyFill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left" vertical="center" wrapText="1"/>
    </xf>
    <xf numFmtId="10" fontId="39" fillId="0" borderId="22" xfId="0" applyNumberFormat="1" applyFont="1" applyFill="1" applyBorder="1" applyAlignment="1">
      <alignment horizontal="center" vertical="center" wrapText="1"/>
    </xf>
    <xf numFmtId="9" fontId="24" fillId="0" borderId="14" xfId="3" applyFont="1" applyFill="1" applyBorder="1" applyAlignment="1">
      <alignment horizontal="center" vertical="center" wrapText="1"/>
    </xf>
    <xf numFmtId="9" fontId="40" fillId="0" borderId="14" xfId="3" applyFont="1" applyFill="1" applyBorder="1" applyAlignment="1">
      <alignment horizontal="center" vertical="center" wrapText="1"/>
    </xf>
    <xf numFmtId="10" fontId="22" fillId="0" borderId="22" xfId="3" applyNumberFormat="1" applyFont="1" applyFill="1" applyBorder="1" applyAlignment="1">
      <alignment horizontal="center" vertical="center" wrapText="1"/>
    </xf>
    <xf numFmtId="4" fontId="24" fillId="0" borderId="22" xfId="0" applyNumberFormat="1" applyFont="1" applyFill="1" applyBorder="1" applyAlignment="1">
      <alignment horizontal="center" vertical="center" wrapText="1"/>
    </xf>
    <xf numFmtId="9" fontId="24" fillId="0" borderId="22" xfId="0" applyNumberFormat="1" applyFont="1" applyFill="1" applyBorder="1" applyAlignment="1">
      <alignment horizontal="center" vertical="center" wrapText="1"/>
    </xf>
    <xf numFmtId="167" fontId="2" fillId="0" borderId="22" xfId="2" applyNumberFormat="1" applyFont="1" applyFill="1" applyBorder="1" applyAlignment="1">
      <alignment horizontal="center" vertical="center" wrapText="1"/>
    </xf>
    <xf numFmtId="4" fontId="23" fillId="0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10" fontId="25" fillId="0" borderId="22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Fill="1" applyBorder="1" applyAlignment="1">
      <alignment horizontal="center" vertical="center" wrapText="1"/>
    </xf>
    <xf numFmtId="9" fontId="24" fillId="0" borderId="0" xfId="0" applyNumberFormat="1" applyFont="1" applyFill="1" applyBorder="1" applyAlignment="1">
      <alignment horizontal="center" vertical="center" wrapText="1"/>
    </xf>
    <xf numFmtId="164" fontId="22" fillId="0" borderId="0" xfId="2" applyNumberFormat="1" applyFont="1" applyFill="1" applyBorder="1" applyAlignment="1">
      <alignment horizontal="center" vertical="center" wrapText="1"/>
    </xf>
    <xf numFmtId="10" fontId="22" fillId="0" borderId="32" xfId="3" applyNumberFormat="1" applyFont="1" applyFill="1" applyBorder="1" applyAlignment="1">
      <alignment horizontal="center" vertical="center" wrapText="1"/>
    </xf>
    <xf numFmtId="10" fontId="24" fillId="0" borderId="32" xfId="3" applyNumberFormat="1" applyFont="1" applyFill="1" applyBorder="1" applyAlignment="1">
      <alignment horizontal="center" vertical="center" wrapText="1"/>
    </xf>
    <xf numFmtId="3" fontId="25" fillId="0" borderId="22" xfId="0" applyNumberFormat="1" applyFont="1" applyFill="1" applyBorder="1" applyAlignment="1">
      <alignment horizontal="center" vertical="center" wrapText="1"/>
    </xf>
    <xf numFmtId="168" fontId="25" fillId="0" borderId="22" xfId="0" applyNumberFormat="1" applyFont="1" applyFill="1" applyBorder="1" applyAlignment="1">
      <alignment horizontal="center" vertical="center" wrapText="1"/>
    </xf>
    <xf numFmtId="4" fontId="25" fillId="0" borderId="22" xfId="0" applyNumberFormat="1" applyFont="1" applyFill="1" applyBorder="1" applyAlignment="1">
      <alignment horizontal="center" vertical="center" wrapText="1"/>
    </xf>
    <xf numFmtId="9" fontId="24" fillId="0" borderId="2" xfId="3" applyFont="1" applyFill="1" applyBorder="1" applyAlignment="1">
      <alignment horizontal="center" vertical="center" wrapText="1"/>
    </xf>
    <xf numFmtId="9" fontId="40" fillId="0" borderId="1" xfId="3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26" fillId="0" borderId="0" xfId="0" applyFont="1" applyFill="1" applyBorder="1" applyAlignment="1">
      <alignment vertical="center"/>
    </xf>
    <xf numFmtId="0" fontId="17" fillId="0" borderId="13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3" fontId="20" fillId="0" borderId="14" xfId="0" applyNumberFormat="1" applyFont="1" applyFill="1" applyBorder="1" applyAlignment="1">
      <alignment horizontal="center" vertical="center" wrapText="1"/>
    </xf>
    <xf numFmtId="3" fontId="17" fillId="0" borderId="14" xfId="0" applyNumberFormat="1" applyFont="1" applyFill="1" applyBorder="1" applyAlignment="1">
      <alignment horizontal="center" vertical="center" wrapText="1"/>
    </xf>
    <xf numFmtId="0" fontId="36" fillId="0" borderId="10" xfId="0" applyFont="1" applyFill="1" applyBorder="1" applyAlignment="1">
      <alignment horizontal="center" vertical="center" wrapText="1"/>
    </xf>
    <xf numFmtId="0" fontId="36" fillId="0" borderId="27" xfId="0" applyFont="1" applyFill="1" applyBorder="1" applyAlignment="1">
      <alignment horizontal="center" vertical="center" wrapText="1"/>
    </xf>
    <xf numFmtId="0" fontId="36" fillId="0" borderId="28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4" fillId="0" borderId="0" xfId="0" applyFont="1" applyFill="1"/>
    <xf numFmtId="0" fontId="19" fillId="0" borderId="0" xfId="0" applyFont="1" applyFill="1"/>
    <xf numFmtId="17" fontId="24" fillId="0" borderId="4" xfId="0" applyNumberFormat="1" applyFont="1" applyFill="1" applyBorder="1" applyAlignment="1">
      <alignment horizontal="center" vertical="center" wrapText="1"/>
    </xf>
    <xf numFmtId="10" fontId="22" fillId="0" borderId="4" xfId="3" applyNumberFormat="1" applyFont="1" applyFill="1" applyBorder="1" applyAlignment="1">
      <alignment horizontal="center" vertical="center"/>
    </xf>
    <xf numFmtId="0" fontId="16" fillId="0" borderId="0" xfId="0" applyFont="1" applyFill="1"/>
    <xf numFmtId="17" fontId="24" fillId="0" borderId="1" xfId="0" applyNumberFormat="1" applyFont="1" applyFill="1" applyBorder="1" applyAlignment="1">
      <alignment horizontal="center" vertical="center" wrapText="1"/>
    </xf>
    <xf numFmtId="10" fontId="22" fillId="0" borderId="1" xfId="3" applyNumberFormat="1" applyFont="1" applyFill="1" applyBorder="1" applyAlignment="1">
      <alignment horizontal="center" vertical="center"/>
    </xf>
    <xf numFmtId="17" fontId="24" fillId="0" borderId="8" xfId="0" applyNumberFormat="1" applyFont="1" applyFill="1" applyBorder="1" applyAlignment="1">
      <alignment horizontal="center" vertical="center" wrapText="1"/>
    </xf>
    <xf numFmtId="10" fontId="22" fillId="0" borderId="8" xfId="3" applyNumberFormat="1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center" vertical="center" wrapText="1"/>
    </xf>
    <xf numFmtId="166" fontId="21" fillId="0" borderId="22" xfId="1" applyNumberFormat="1" applyFont="1" applyFill="1" applyBorder="1" applyAlignment="1">
      <alignment horizontal="center" vertical="center" wrapText="1"/>
    </xf>
    <xf numFmtId="3" fontId="38" fillId="0" borderId="1" xfId="0" applyNumberFormat="1" applyFont="1" applyFill="1" applyBorder="1" applyAlignment="1">
      <alignment horizontal="center" vertical="center" wrapText="1"/>
    </xf>
    <xf numFmtId="9" fontId="39" fillId="0" borderId="22" xfId="0" applyNumberFormat="1" applyFont="1" applyFill="1" applyBorder="1" applyAlignment="1">
      <alignment horizontal="center" vertical="center" wrapText="1"/>
    </xf>
    <xf numFmtId="17" fontId="24" fillId="0" borderId="22" xfId="0" applyNumberFormat="1" applyFont="1" applyFill="1" applyBorder="1" applyAlignment="1">
      <alignment horizontal="center" vertical="center" wrapText="1"/>
    </xf>
    <xf numFmtId="0" fontId="22" fillId="0" borderId="22" xfId="0" applyFont="1" applyFill="1" applyBorder="1" applyAlignment="1">
      <alignment horizontal="center" vertical="center"/>
    </xf>
    <xf numFmtId="169" fontId="22" fillId="0" borderId="22" xfId="0" applyNumberFormat="1" applyFont="1" applyFill="1" applyBorder="1" applyAlignment="1">
      <alignment horizontal="center" vertical="center"/>
    </xf>
    <xf numFmtId="9" fontId="22" fillId="0" borderId="22" xfId="3" applyFont="1" applyFill="1" applyBorder="1" applyAlignment="1">
      <alignment horizontal="center" vertical="center"/>
    </xf>
    <xf numFmtId="0" fontId="14" fillId="0" borderId="30" xfId="0" applyFont="1" applyFill="1" applyBorder="1" applyAlignment="1">
      <alignment horizontal="left" vertical="center" wrapText="1"/>
    </xf>
    <xf numFmtId="10" fontId="24" fillId="0" borderId="4" xfId="0" applyNumberFormat="1" applyFont="1" applyFill="1" applyBorder="1" applyAlignment="1">
      <alignment horizontal="center" vertical="center" wrapText="1"/>
    </xf>
    <xf numFmtId="10" fontId="24" fillId="0" borderId="1" xfId="0" applyNumberFormat="1" applyFont="1" applyFill="1" applyBorder="1" applyAlignment="1">
      <alignment horizontal="center" vertical="center" wrapText="1"/>
    </xf>
    <xf numFmtId="166" fontId="7" fillId="0" borderId="8" xfId="1" applyNumberFormat="1" applyFont="1" applyFill="1" applyBorder="1" applyAlignment="1">
      <alignment horizontal="center" vertical="center" wrapText="1"/>
    </xf>
    <xf numFmtId="166" fontId="4" fillId="0" borderId="8" xfId="1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10" fontId="24" fillId="0" borderId="8" xfId="0" applyNumberFormat="1" applyFont="1" applyFill="1" applyBorder="1" applyAlignment="1">
      <alignment horizontal="center" vertical="center" wrapText="1"/>
    </xf>
    <xf numFmtId="10" fontId="24" fillId="0" borderId="22" xfId="0" applyNumberFormat="1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166" fontId="21" fillId="0" borderId="14" xfId="1" applyNumberFormat="1" applyFont="1" applyFill="1" applyBorder="1" applyAlignment="1">
      <alignment horizontal="center" vertical="center" wrapText="1"/>
    </xf>
    <xf numFmtId="166" fontId="7" fillId="0" borderId="1" xfId="1" applyNumberFormat="1" applyFont="1" applyFill="1" applyBorder="1" applyAlignment="1">
      <alignment horizontal="center" vertical="center" wrapText="1"/>
    </xf>
    <xf numFmtId="166" fontId="4" fillId="0" borderId="1" xfId="1" applyNumberFormat="1" applyFont="1" applyFill="1" applyBorder="1" applyAlignment="1">
      <alignment horizontal="center" vertical="center" wrapText="1"/>
    </xf>
    <xf numFmtId="3" fontId="2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textRotation="90" wrapText="1"/>
    </xf>
    <xf numFmtId="0" fontId="14" fillId="0" borderId="14" xfId="0" applyFont="1" applyFill="1" applyBorder="1" applyAlignment="1">
      <alignment horizontal="center" vertical="center" wrapText="1"/>
    </xf>
    <xf numFmtId="17" fontId="24" fillId="0" borderId="14" xfId="0" applyNumberFormat="1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/>
    </xf>
    <xf numFmtId="169" fontId="22" fillId="0" borderId="14" xfId="0" applyNumberFormat="1" applyFont="1" applyFill="1" applyBorder="1" applyAlignment="1">
      <alignment horizontal="center" vertical="center"/>
    </xf>
    <xf numFmtId="9" fontId="22" fillId="0" borderId="14" xfId="3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horizontal="center" vertical="center" wrapText="1"/>
    </xf>
    <xf numFmtId="166" fontId="24" fillId="0" borderId="4" xfId="1" applyNumberFormat="1" applyFont="1" applyFill="1" applyBorder="1" applyAlignment="1">
      <alignment horizontal="center" vertical="center" wrapText="1"/>
    </xf>
    <xf numFmtId="166" fontId="22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textRotation="90" wrapText="1"/>
    </xf>
    <xf numFmtId="0" fontId="3" fillId="0" borderId="4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/>
    </xf>
    <xf numFmtId="169" fontId="22" fillId="0" borderId="4" xfId="0" applyNumberFormat="1" applyFont="1" applyFill="1" applyBorder="1" applyAlignment="1">
      <alignment horizontal="center" vertical="center"/>
    </xf>
    <xf numFmtId="9" fontId="22" fillId="0" borderId="4" xfId="3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 wrapText="1"/>
    </xf>
    <xf numFmtId="0" fontId="22" fillId="0" borderId="21" xfId="0" applyFont="1" applyFill="1" applyBorder="1" applyAlignment="1">
      <alignment horizontal="center" vertical="center" wrapText="1"/>
    </xf>
    <xf numFmtId="166" fontId="24" fillId="0" borderId="21" xfId="1" applyNumberFormat="1" applyFont="1" applyFill="1" applyBorder="1" applyAlignment="1">
      <alignment horizontal="center" vertical="center" wrapText="1"/>
    </xf>
    <xf numFmtId="10" fontId="23" fillId="0" borderId="22" xfId="0" applyNumberFormat="1" applyFont="1" applyFill="1" applyBorder="1" applyAlignment="1">
      <alignment vertical="center" wrapText="1"/>
    </xf>
    <xf numFmtId="10" fontId="23" fillId="0" borderId="21" xfId="0" applyNumberFormat="1" applyFont="1" applyFill="1" applyBorder="1" applyAlignment="1">
      <alignment horizontal="center" vertical="center" wrapText="1"/>
    </xf>
    <xf numFmtId="0" fontId="23" fillId="0" borderId="22" xfId="0" applyFont="1" applyFill="1" applyBorder="1" applyAlignment="1">
      <alignment horizontal="center" vertical="center" textRotation="90" wrapText="1"/>
    </xf>
    <xf numFmtId="0" fontId="3" fillId="0" borderId="22" xfId="0" applyFont="1" applyFill="1" applyBorder="1" applyAlignment="1">
      <alignment horizontal="center" vertical="center" wrapText="1"/>
    </xf>
    <xf numFmtId="17" fontId="24" fillId="0" borderId="21" xfId="0" applyNumberFormat="1" applyFont="1" applyFill="1" applyBorder="1" applyAlignment="1">
      <alignment horizontal="center" vertical="center" wrapText="1"/>
    </xf>
    <xf numFmtId="0" fontId="22" fillId="0" borderId="21" xfId="0" applyFont="1" applyFill="1" applyBorder="1" applyAlignment="1">
      <alignment horizontal="center" vertical="center"/>
    </xf>
    <xf numFmtId="169" fontId="22" fillId="0" borderId="21" xfId="0" applyNumberFormat="1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 wrapText="1"/>
    </xf>
    <xf numFmtId="166" fontId="24" fillId="0" borderId="22" xfId="1" applyNumberFormat="1" applyFont="1" applyFill="1" applyBorder="1" applyAlignment="1">
      <alignment horizontal="center" vertical="center" wrapText="1"/>
    </xf>
    <xf numFmtId="10" fontId="23" fillId="0" borderId="1" xfId="0" applyNumberFormat="1" applyFont="1" applyFill="1" applyBorder="1" applyAlignment="1">
      <alignment vertical="center" wrapText="1"/>
    </xf>
    <xf numFmtId="0" fontId="22" fillId="0" borderId="29" xfId="0" applyFont="1" applyFill="1" applyBorder="1" applyAlignment="1">
      <alignment horizontal="center" vertical="center" wrapText="1"/>
    </xf>
    <xf numFmtId="0" fontId="14" fillId="0" borderId="30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166" fontId="7" fillId="0" borderId="33" xfId="1" applyNumberFormat="1" applyFont="1" applyFill="1" applyBorder="1" applyAlignment="1">
      <alignment horizontal="center" vertical="center" wrapText="1"/>
    </xf>
    <xf numFmtId="166" fontId="4" fillId="0" borderId="2" xfId="1" applyNumberFormat="1" applyFont="1" applyFill="1" applyBorder="1" applyAlignment="1">
      <alignment horizontal="center" vertical="center" wrapText="1"/>
    </xf>
    <xf numFmtId="166" fontId="22" fillId="0" borderId="2" xfId="1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textRotation="90" wrapText="1"/>
    </xf>
    <xf numFmtId="17" fontId="25" fillId="0" borderId="2" xfId="0" applyNumberFormat="1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 textRotation="90" wrapText="1"/>
    </xf>
    <xf numFmtId="0" fontId="22" fillId="0" borderId="20" xfId="0" applyFont="1" applyFill="1" applyBorder="1" applyAlignment="1">
      <alignment horizontal="center" vertical="center" textRotation="90" wrapText="1"/>
    </xf>
    <xf numFmtId="0" fontId="12" fillId="0" borderId="24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17" fontId="24" fillId="0" borderId="2" xfId="0" applyNumberFormat="1" applyFont="1" applyFill="1" applyBorder="1" applyAlignment="1">
      <alignment horizontal="center" vertical="center" wrapText="1"/>
    </xf>
    <xf numFmtId="169" fontId="22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9" fontId="22" fillId="0" borderId="2" xfId="3" applyFont="1" applyFill="1" applyBorder="1" applyAlignment="1">
      <alignment horizontal="center" vertical="center"/>
    </xf>
    <xf numFmtId="0" fontId="22" fillId="0" borderId="20" xfId="0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left" vertical="center" wrapText="1"/>
    </xf>
    <xf numFmtId="166" fontId="1" fillId="0" borderId="33" xfId="1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69" fontId="22" fillId="0" borderId="1" xfId="0" applyNumberFormat="1" applyFont="1" applyFill="1" applyBorder="1" applyAlignment="1">
      <alignment horizontal="center" vertical="center"/>
    </xf>
    <xf numFmtId="9" fontId="22" fillId="0" borderId="1" xfId="3" applyFont="1" applyFill="1" applyBorder="1" applyAlignment="1">
      <alignment horizontal="center" vertical="center"/>
    </xf>
    <xf numFmtId="0" fontId="13" fillId="0" borderId="26" xfId="0" applyFont="1" applyFill="1" applyBorder="1" applyAlignment="1">
      <alignment horizontal="left" vertical="center" wrapText="1"/>
    </xf>
    <xf numFmtId="166" fontId="7" fillId="0" borderId="31" xfId="1" applyNumberFormat="1" applyFont="1" applyFill="1" applyBorder="1" applyAlignment="1">
      <alignment horizontal="center" vertical="center" wrapText="1"/>
    </xf>
    <xf numFmtId="166" fontId="4" fillId="0" borderId="22" xfId="1" applyNumberFormat="1" applyFont="1" applyFill="1" applyBorder="1" applyAlignment="1">
      <alignment horizontal="center" vertical="center" wrapText="1"/>
    </xf>
    <xf numFmtId="166" fontId="22" fillId="0" borderId="22" xfId="1" applyNumberFormat="1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9" fontId="22" fillId="0" borderId="21" xfId="3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7" fontId="24" fillId="0" borderId="0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9" fontId="22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9" fontId="22" fillId="0" borderId="0" xfId="3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34" fillId="0" borderId="0" xfId="0" applyFont="1" applyFill="1"/>
    <xf numFmtId="0" fontId="22" fillId="0" borderId="0" xfId="0" applyFont="1" applyFill="1"/>
    <xf numFmtId="0" fontId="4" fillId="0" borderId="0" xfId="0" applyFont="1" applyFill="1"/>
    <xf numFmtId="3" fontId="23" fillId="0" borderId="0" xfId="0" applyNumberFormat="1" applyFont="1" applyFill="1" applyAlignment="1">
      <alignment horizontal="center"/>
    </xf>
    <xf numFmtId="3" fontId="23" fillId="0" borderId="0" xfId="0" applyNumberFormat="1" applyFont="1" applyFill="1"/>
    <xf numFmtId="10" fontId="37" fillId="0" borderId="2" xfId="0" applyNumberFormat="1" applyFont="1" applyFill="1" applyBorder="1" applyAlignment="1">
      <alignment horizontal="center" vertical="center"/>
    </xf>
    <xf numFmtId="0" fontId="23" fillId="0" borderId="0" xfId="0" applyFont="1" applyFill="1"/>
    <xf numFmtId="0" fontId="22" fillId="0" borderId="0" xfId="0" applyFont="1" applyFill="1" applyAlignment="1">
      <alignment horizontal="center"/>
    </xf>
    <xf numFmtId="3" fontId="22" fillId="0" borderId="0" xfId="0" applyNumberFormat="1" applyFont="1" applyFill="1"/>
    <xf numFmtId="10" fontId="22" fillId="0" borderId="0" xfId="0" applyNumberFormat="1" applyFont="1" applyFill="1"/>
    <xf numFmtId="169" fontId="29" fillId="0" borderId="1" xfId="0" applyNumberFormat="1" applyFont="1" applyFill="1" applyBorder="1" applyAlignment="1">
      <alignment vertical="center"/>
    </xf>
    <xf numFmtId="0" fontId="22" fillId="0" borderId="0" xfId="0" applyFont="1" applyFill="1" applyAlignment="1">
      <alignment wrapText="1"/>
    </xf>
    <xf numFmtId="0" fontId="0" fillId="0" borderId="0" xfId="0" applyFont="1" applyFill="1" applyAlignment="1">
      <alignment textRotation="90"/>
    </xf>
    <xf numFmtId="0" fontId="22" fillId="0" borderId="0" xfId="0" applyFont="1" applyFill="1" applyAlignment="1"/>
    <xf numFmtId="0" fontId="22" fillId="0" borderId="0" xfId="0" applyFont="1" applyFill="1" applyAlignment="1">
      <alignment textRotation="90"/>
    </xf>
    <xf numFmtId="0" fontId="14" fillId="0" borderId="0" xfId="0" applyFont="1" applyFill="1" applyAlignment="1">
      <alignment horizontal="left" vertical="center" wrapText="1"/>
    </xf>
    <xf numFmtId="10" fontId="23" fillId="0" borderId="0" xfId="0" applyNumberFormat="1" applyFont="1" applyFill="1"/>
    <xf numFmtId="3" fontId="22" fillId="0" borderId="0" xfId="0" applyNumberFormat="1" applyFont="1" applyFill="1" applyAlignment="1">
      <alignment horizontal="center"/>
    </xf>
    <xf numFmtId="0" fontId="22" fillId="0" borderId="0" xfId="0" applyFont="1" applyFill="1" applyAlignment="1">
      <alignment horizontal="center" vertical="center"/>
    </xf>
    <xf numFmtId="3" fontId="21" fillId="0" borderId="31" xfId="0" applyNumberFormat="1" applyFont="1" applyFill="1" applyBorder="1" applyAlignment="1">
      <alignment horizontal="center" vertical="center" wrapText="1"/>
    </xf>
    <xf numFmtId="3" fontId="21" fillId="0" borderId="34" xfId="0" applyNumberFormat="1" applyFont="1" applyFill="1" applyBorder="1" applyAlignment="1">
      <alignment horizontal="center" vertical="center" wrapText="1"/>
    </xf>
    <xf numFmtId="3" fontId="24" fillId="0" borderId="28" xfId="0" applyNumberFormat="1" applyFont="1" applyFill="1" applyBorder="1" applyAlignment="1">
      <alignment horizontal="center" vertical="center" wrapText="1"/>
    </xf>
    <xf numFmtId="3" fontId="24" fillId="0" borderId="36" xfId="0" applyNumberFormat="1" applyFont="1" applyFill="1" applyBorder="1" applyAlignment="1">
      <alignment horizontal="center" vertical="center" wrapText="1"/>
    </xf>
    <xf numFmtId="3" fontId="24" fillId="0" borderId="31" xfId="0" applyNumberFormat="1" applyFont="1" applyFill="1" applyBorder="1" applyAlignment="1">
      <alignment horizontal="center" vertical="center" wrapText="1"/>
    </xf>
    <xf numFmtId="0" fontId="22" fillId="0" borderId="33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68" fontId="39" fillId="0" borderId="1" xfId="0" applyNumberFormat="1" applyFont="1" applyFill="1" applyBorder="1" applyAlignment="1">
      <alignment horizontal="center" vertical="center" wrapText="1"/>
    </xf>
    <xf numFmtId="10" fontId="41" fillId="0" borderId="2" xfId="3" applyNumberFormat="1" applyFont="1" applyFill="1" applyBorder="1" applyAlignment="1">
      <alignment horizontal="center" vertical="center"/>
    </xf>
    <xf numFmtId="10" fontId="41" fillId="0" borderId="2" xfId="0" applyNumberFormat="1" applyFont="1" applyFill="1" applyBorder="1" applyAlignment="1">
      <alignment horizontal="center" vertical="center"/>
    </xf>
    <xf numFmtId="0" fontId="43" fillId="0" borderId="1" xfId="0" applyFont="1" applyFill="1" applyBorder="1" applyAlignment="1">
      <alignment horizontal="center" vertical="center" wrapText="1"/>
    </xf>
    <xf numFmtId="10" fontId="39" fillId="0" borderId="1" xfId="3" applyNumberFormat="1" applyFont="1" applyFill="1" applyBorder="1" applyAlignment="1">
      <alignment horizontal="center" vertical="center"/>
    </xf>
    <xf numFmtId="10" fontId="29" fillId="0" borderId="1" xfId="3" applyNumberFormat="1" applyFont="1" applyFill="1" applyBorder="1" applyAlignment="1">
      <alignment horizontal="center" vertical="center"/>
    </xf>
    <xf numFmtId="10" fontId="23" fillId="0" borderId="4" xfId="0" applyNumberFormat="1" applyFont="1" applyFill="1" applyBorder="1" applyAlignment="1">
      <alignment horizontal="center" vertical="center" wrapText="1"/>
    </xf>
    <xf numFmtId="10" fontId="23" fillId="0" borderId="1" xfId="0" applyNumberFormat="1" applyFont="1" applyFill="1" applyBorder="1" applyAlignment="1">
      <alignment horizontal="center" vertical="center" wrapText="1"/>
    </xf>
    <xf numFmtId="10" fontId="25" fillId="0" borderId="22" xfId="0" applyNumberFormat="1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6" fillId="0" borderId="23" xfId="0" applyFont="1" applyFill="1" applyBorder="1" applyAlignment="1">
      <alignment horizontal="left" vertical="center"/>
    </xf>
    <xf numFmtId="10" fontId="23" fillId="0" borderId="14" xfId="3" applyNumberFormat="1" applyFont="1" applyFill="1" applyBorder="1" applyAlignment="1">
      <alignment horizontal="center" vertical="center" wrapText="1"/>
    </xf>
    <xf numFmtId="10" fontId="23" fillId="0" borderId="22" xfId="3" applyNumberFormat="1" applyFont="1" applyFill="1" applyBorder="1" applyAlignment="1">
      <alignment horizontal="center" vertical="center" wrapText="1"/>
    </xf>
    <xf numFmtId="10" fontId="23" fillId="0" borderId="21" xfId="3" applyNumberFormat="1" applyFont="1" applyFill="1" applyBorder="1" applyAlignment="1">
      <alignment horizontal="center" vertical="center" wrapText="1"/>
    </xf>
    <xf numFmtId="10" fontId="23" fillId="0" borderId="14" xfId="0" applyNumberFormat="1" applyFont="1" applyFill="1" applyBorder="1" applyAlignment="1">
      <alignment horizontal="center" vertical="center" wrapText="1"/>
    </xf>
    <xf numFmtId="10" fontId="23" fillId="0" borderId="22" xfId="0" applyNumberFormat="1" applyFont="1" applyFill="1" applyBorder="1" applyAlignment="1">
      <alignment horizontal="center" vertical="center" wrapText="1"/>
    </xf>
    <xf numFmtId="10" fontId="23" fillId="0" borderId="21" xfId="0" applyNumberFormat="1" applyFont="1" applyFill="1" applyBorder="1" applyAlignment="1">
      <alignment horizontal="center" vertical="center" wrapText="1"/>
    </xf>
    <xf numFmtId="10" fontId="25" fillId="0" borderId="21" xfId="0" applyNumberFormat="1" applyFont="1" applyFill="1" applyBorder="1" applyAlignment="1">
      <alignment horizontal="center" vertical="center" wrapText="1"/>
    </xf>
    <xf numFmtId="3" fontId="23" fillId="0" borderId="4" xfId="0" applyNumberFormat="1" applyFont="1" applyFill="1" applyBorder="1" applyAlignment="1">
      <alignment horizontal="center" vertical="center" wrapText="1"/>
    </xf>
    <xf numFmtId="3" fontId="23" fillId="0" borderId="1" xfId="0" applyNumberFormat="1" applyFont="1" applyFill="1" applyBorder="1" applyAlignment="1">
      <alignment horizontal="center" vertical="center" wrapText="1"/>
    </xf>
    <xf numFmtId="3" fontId="23" fillId="0" borderId="8" xfId="0" applyNumberFormat="1" applyFont="1" applyFill="1" applyBorder="1" applyAlignment="1">
      <alignment horizontal="center" vertical="center" wrapText="1"/>
    </xf>
    <xf numFmtId="10" fontId="23" fillId="0" borderId="2" xfId="0" applyNumberFormat="1" applyFont="1" applyFill="1" applyBorder="1" applyAlignment="1">
      <alignment horizontal="center" vertical="center" wrapText="1"/>
    </xf>
    <xf numFmtId="10" fontId="23" fillId="0" borderId="8" xfId="0" applyNumberFormat="1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textRotation="90" wrapText="1"/>
    </xf>
    <xf numFmtId="3" fontId="24" fillId="0" borderId="4" xfId="0" applyNumberFormat="1" applyFont="1" applyFill="1" applyBorder="1" applyAlignment="1">
      <alignment horizontal="center" vertical="center" wrapText="1"/>
    </xf>
    <xf numFmtId="3" fontId="24" fillId="0" borderId="1" xfId="0" applyNumberFormat="1" applyFont="1" applyFill="1" applyBorder="1" applyAlignment="1">
      <alignment horizontal="center" vertical="center" wrapText="1"/>
    </xf>
    <xf numFmtId="3" fontId="24" fillId="0" borderId="8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165" fontId="22" fillId="0" borderId="4" xfId="2" applyFont="1" applyFill="1" applyBorder="1" applyAlignment="1">
      <alignment horizontal="center" vertical="center"/>
    </xf>
    <xf numFmtId="165" fontId="22" fillId="0" borderId="1" xfId="2" applyFont="1" applyFill="1" applyBorder="1" applyAlignment="1">
      <alignment horizontal="center" vertical="center"/>
    </xf>
    <xf numFmtId="164" fontId="22" fillId="0" borderId="4" xfId="2" applyNumberFormat="1" applyFont="1" applyFill="1" applyBorder="1" applyAlignment="1">
      <alignment horizontal="center" vertical="center" wrapText="1"/>
    </xf>
    <xf numFmtId="164" fontId="22" fillId="0" borderId="1" xfId="2" applyNumberFormat="1" applyFont="1" applyFill="1" applyBorder="1" applyAlignment="1">
      <alignment horizontal="center" vertical="center" wrapText="1"/>
    </xf>
    <xf numFmtId="169" fontId="22" fillId="0" borderId="4" xfId="0" applyNumberFormat="1" applyFont="1" applyFill="1" applyBorder="1" applyAlignment="1">
      <alignment horizontal="center" vertical="center"/>
    </xf>
    <xf numFmtId="169" fontId="22" fillId="0" borderId="1" xfId="0" applyNumberFormat="1" applyFont="1" applyFill="1" applyBorder="1" applyAlignment="1">
      <alignment horizontal="center" vertical="center"/>
    </xf>
    <xf numFmtId="9" fontId="22" fillId="0" borderId="4" xfId="3" applyFont="1" applyFill="1" applyBorder="1" applyAlignment="1">
      <alignment horizontal="center" vertical="center"/>
    </xf>
    <xf numFmtId="9" fontId="22" fillId="0" borderId="1" xfId="3" applyFont="1" applyFill="1" applyBorder="1" applyAlignment="1">
      <alignment horizontal="center" vertical="center"/>
    </xf>
    <xf numFmtId="169" fontId="22" fillId="0" borderId="8" xfId="0" applyNumberFormat="1" applyFont="1" applyFill="1" applyBorder="1" applyAlignment="1">
      <alignment horizontal="center" vertical="center"/>
    </xf>
    <xf numFmtId="9" fontId="22" fillId="0" borderId="8" xfId="3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 textRotation="90" wrapText="1"/>
    </xf>
    <xf numFmtId="0" fontId="23" fillId="0" borderId="8" xfId="0" applyFont="1" applyFill="1" applyBorder="1" applyAlignment="1">
      <alignment horizontal="center" vertical="center" textRotation="90" wrapText="1"/>
    </xf>
    <xf numFmtId="0" fontId="14" fillId="0" borderId="4" xfId="0" applyFont="1" applyFill="1" applyBorder="1" applyAlignment="1">
      <alignment horizontal="center" vertical="center" wrapText="1"/>
    </xf>
    <xf numFmtId="0" fontId="39" fillId="0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14" fontId="24" fillId="0" borderId="5" xfId="0" applyNumberFormat="1" applyFont="1" applyFill="1" applyBorder="1" applyAlignment="1">
      <alignment horizontal="center" vertical="center" wrapText="1"/>
    </xf>
    <xf numFmtId="14" fontId="24" fillId="0" borderId="6" xfId="0" applyNumberFormat="1" applyFont="1" applyFill="1" applyBorder="1" applyAlignment="1">
      <alignment horizontal="center" vertical="center" wrapText="1"/>
    </xf>
    <xf numFmtId="14" fontId="24" fillId="0" borderId="9" xfId="0" applyNumberFormat="1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17" xfId="0" applyFont="1" applyFill="1" applyBorder="1" applyAlignment="1">
      <alignment horizontal="left" vertical="center" wrapText="1"/>
    </xf>
    <xf numFmtId="0" fontId="22" fillId="0" borderId="4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/>
    </xf>
    <xf numFmtId="164" fontId="22" fillId="0" borderId="8" xfId="2" applyNumberFormat="1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left" vertical="center" wrapText="1"/>
    </xf>
    <xf numFmtId="0" fontId="14" fillId="0" borderId="7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6" fontId="7" fillId="0" borderId="4" xfId="1" applyNumberFormat="1" applyFont="1" applyFill="1" applyBorder="1" applyAlignment="1">
      <alignment horizontal="center" vertical="center" wrapText="1"/>
    </xf>
    <xf numFmtId="166" fontId="14" fillId="0" borderId="1" xfId="1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66" fontId="4" fillId="0" borderId="4" xfId="1" applyNumberFormat="1" applyFont="1" applyFill="1" applyBorder="1" applyAlignment="1">
      <alignment horizontal="center" vertical="center" wrapText="1"/>
    </xf>
    <xf numFmtId="166" fontId="4" fillId="0" borderId="1" xfId="1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66" fontId="21" fillId="0" borderId="1" xfId="1" applyNumberFormat="1" applyFont="1" applyFill="1" applyBorder="1" applyAlignment="1">
      <alignment horizontal="center" vertical="center" wrapText="1"/>
    </xf>
    <xf numFmtId="166" fontId="21" fillId="0" borderId="8" xfId="1" applyNumberFormat="1" applyFont="1" applyFill="1" applyBorder="1" applyAlignment="1">
      <alignment horizontal="center" vertical="center" wrapText="1"/>
    </xf>
    <xf numFmtId="166" fontId="21" fillId="0" borderId="4" xfId="1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3" fontId="21" fillId="0" borderId="28" xfId="0" applyNumberFormat="1" applyFont="1" applyFill="1" applyBorder="1" applyAlignment="1">
      <alignment horizontal="center" vertical="center" wrapText="1"/>
    </xf>
    <xf numFmtId="3" fontId="21" fillId="0" borderId="41" xfId="0" applyNumberFormat="1" applyFont="1" applyFill="1" applyBorder="1" applyAlignment="1">
      <alignment horizontal="center" vertical="center" wrapText="1"/>
    </xf>
    <xf numFmtId="3" fontId="21" fillId="0" borderId="42" xfId="0" applyNumberFormat="1" applyFont="1" applyFill="1" applyBorder="1" applyAlignment="1">
      <alignment horizontal="center" vertical="center" wrapText="1"/>
    </xf>
    <xf numFmtId="166" fontId="39" fillId="0" borderId="1" xfId="1" applyNumberFormat="1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10" fontId="23" fillId="0" borderId="2" xfId="3" applyNumberFormat="1" applyFont="1" applyFill="1" applyBorder="1" applyAlignment="1">
      <alignment horizontal="center" vertical="center" wrapText="1"/>
    </xf>
    <xf numFmtId="3" fontId="39" fillId="0" borderId="1" xfId="0" applyNumberFormat="1" applyFont="1" applyFill="1" applyBorder="1" applyAlignment="1">
      <alignment horizontal="center" wrapText="1"/>
    </xf>
    <xf numFmtId="0" fontId="39" fillId="0" borderId="1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8" fillId="0" borderId="22" xfId="0" applyFont="1" applyFill="1" applyBorder="1" applyAlignment="1">
      <alignment horizontal="center" vertical="center" wrapText="1"/>
    </xf>
    <xf numFmtId="3" fontId="40" fillId="0" borderId="39" xfId="0" applyNumberFormat="1" applyFont="1" applyFill="1" applyBorder="1" applyAlignment="1">
      <alignment horizontal="center" vertical="center" wrapText="1"/>
    </xf>
    <xf numFmtId="3" fontId="40" fillId="0" borderId="41" xfId="0" applyNumberFormat="1" applyFont="1" applyFill="1" applyBorder="1" applyAlignment="1">
      <alignment horizontal="center" vertical="center" wrapText="1"/>
    </xf>
    <xf numFmtId="3" fontId="21" fillId="0" borderId="4" xfId="0" applyNumberFormat="1" applyFont="1" applyFill="1" applyBorder="1" applyAlignment="1">
      <alignment horizontal="center" vertical="center" wrapText="1"/>
    </xf>
    <xf numFmtId="3" fontId="21" fillId="0" borderId="1" xfId="0" applyNumberFormat="1" applyFont="1" applyFill="1" applyBorder="1" applyAlignment="1">
      <alignment horizontal="center" vertical="center" wrapText="1"/>
    </xf>
    <xf numFmtId="3" fontId="21" fillId="0" borderId="8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10" fontId="22" fillId="0" borderId="8" xfId="3" applyNumberFormat="1" applyFont="1" applyFill="1" applyBorder="1" applyAlignment="1">
      <alignment horizontal="center" vertical="center" wrapText="1"/>
    </xf>
    <xf numFmtId="10" fontId="22" fillId="0" borderId="2" xfId="3" applyNumberFormat="1" applyFont="1" applyFill="1" applyBorder="1" applyAlignment="1">
      <alignment horizontal="center" vertical="center" wrapText="1"/>
    </xf>
    <xf numFmtId="0" fontId="38" fillId="0" borderId="35" xfId="0" applyFont="1" applyFill="1" applyBorder="1" applyAlignment="1">
      <alignment horizontal="center" vertical="center" wrapText="1"/>
    </xf>
    <xf numFmtId="0" fontId="38" fillId="0" borderId="23" xfId="0" applyFont="1" applyFill="1" applyBorder="1" applyAlignment="1">
      <alignment horizontal="center" vertical="center" wrapText="1"/>
    </xf>
    <xf numFmtId="0" fontId="38" fillId="0" borderId="36" xfId="0" applyFont="1" applyFill="1" applyBorder="1" applyAlignment="1">
      <alignment horizontal="center" vertical="center" wrapText="1"/>
    </xf>
    <xf numFmtId="166" fontId="40" fillId="0" borderId="8" xfId="1" applyNumberFormat="1" applyFont="1" applyFill="1" applyBorder="1" applyAlignment="1">
      <alignment horizontal="center" vertical="center" wrapText="1"/>
    </xf>
    <xf numFmtId="0" fontId="39" fillId="0" borderId="37" xfId="0" applyFont="1" applyFill="1" applyBorder="1" applyAlignment="1">
      <alignment horizontal="center" vertical="center" wrapText="1"/>
    </xf>
    <xf numFmtId="0" fontId="39" fillId="0" borderId="38" xfId="0" applyFont="1" applyFill="1" applyBorder="1" applyAlignment="1">
      <alignment horizontal="center" vertical="center" wrapText="1"/>
    </xf>
    <xf numFmtId="0" fontId="39" fillId="0" borderId="27" xfId="0" applyFont="1" applyFill="1" applyBorder="1" applyAlignment="1">
      <alignment horizontal="center" vertical="center" wrapText="1"/>
    </xf>
    <xf numFmtId="166" fontId="42" fillId="0" borderId="39" xfId="1" applyNumberFormat="1" applyFont="1" applyFill="1" applyBorder="1" applyAlignment="1">
      <alignment horizontal="center" vertical="center" wrapText="1"/>
    </xf>
    <xf numFmtId="166" fontId="42" fillId="0" borderId="40" xfId="1" applyNumberFormat="1" applyFont="1" applyFill="1" applyBorder="1" applyAlignment="1">
      <alignment horizontal="center" vertical="center" wrapText="1"/>
    </xf>
    <xf numFmtId="166" fontId="42" fillId="0" borderId="41" xfId="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66" fontId="41" fillId="0" borderId="39" xfId="1" applyNumberFormat="1" applyFont="1" applyFill="1" applyBorder="1" applyAlignment="1">
      <alignment horizontal="center" vertical="center" wrapText="1"/>
    </xf>
    <xf numFmtId="166" fontId="41" fillId="0" borderId="40" xfId="1" applyNumberFormat="1" applyFont="1" applyFill="1" applyBorder="1" applyAlignment="1">
      <alignment horizontal="center" vertical="center" wrapText="1"/>
    </xf>
    <xf numFmtId="166" fontId="41" fillId="0" borderId="41" xfId="1" applyNumberFormat="1" applyFont="1" applyFill="1" applyBorder="1" applyAlignment="1">
      <alignment horizontal="center" vertical="center" wrapText="1"/>
    </xf>
    <xf numFmtId="166" fontId="4" fillId="0" borderId="8" xfId="1" applyNumberFormat="1" applyFont="1" applyFill="1" applyBorder="1" applyAlignment="1">
      <alignment horizontal="center" vertical="center" wrapText="1"/>
    </xf>
    <xf numFmtId="10" fontId="23" fillId="0" borderId="8" xfId="3" applyNumberFormat="1" applyFont="1" applyFill="1" applyBorder="1" applyAlignment="1">
      <alignment horizontal="center" vertical="center" wrapText="1"/>
    </xf>
    <xf numFmtId="166" fontId="7" fillId="0" borderId="1" xfId="1" applyNumberFormat="1" applyFont="1" applyFill="1" applyBorder="1" applyAlignment="1">
      <alignment horizontal="center" vertical="center" wrapText="1"/>
    </xf>
    <xf numFmtId="166" fontId="14" fillId="0" borderId="8" xfId="1" applyNumberFormat="1" applyFont="1" applyFill="1" applyBorder="1" applyAlignment="1">
      <alignment horizontal="center" vertical="center" wrapText="1"/>
    </xf>
    <xf numFmtId="166" fontId="14" fillId="0" borderId="4" xfId="1" applyNumberFormat="1" applyFont="1" applyFill="1" applyBorder="1" applyAlignment="1">
      <alignment horizontal="center" vertical="center" wrapTex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colors>
    <mruColors>
      <color rgb="FFFFD579"/>
      <color rgb="FFFF7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23"/>
  <sheetViews>
    <sheetView showGridLines="0" tabSelected="1" topLeftCell="J1" zoomScale="70" zoomScaleNormal="70" workbookViewId="0">
      <pane ySplit="3" topLeftCell="A22" activePane="bottomLeft" state="frozen"/>
      <selection pane="bottomLeft" activeCell="X23" sqref="X23"/>
    </sheetView>
  </sheetViews>
  <sheetFormatPr baseColWidth="10" defaultColWidth="10.81640625" defaultRowHeight="21"/>
  <cols>
    <col min="1" max="2" width="14.7265625" style="208" customWidth="1"/>
    <col min="3" max="3" width="18.81640625" style="101" customWidth="1"/>
    <col min="4" max="4" width="14.7265625" style="101" customWidth="1"/>
    <col min="5" max="5" width="19" style="1" customWidth="1"/>
    <col min="6" max="6" width="14.7265625" style="17" customWidth="1"/>
    <col min="7" max="7" width="14.7265625" style="1" customWidth="1"/>
    <col min="8" max="8" width="22.1796875" style="101" customWidth="1"/>
    <col min="9" max="9" width="16.26953125" style="209" customWidth="1"/>
    <col min="10" max="10" width="14" style="101" customWidth="1"/>
    <col min="11" max="11" width="38.1796875" style="101" bestFit="1" customWidth="1"/>
    <col min="12" max="12" width="22" style="210" customWidth="1"/>
    <col min="13" max="13" width="19.54296875" style="211" customWidth="1"/>
    <col min="14" max="14" width="22.81640625" style="211" customWidth="1"/>
    <col min="15" max="15" width="19.453125" style="211" customWidth="1"/>
    <col min="16" max="16" width="22.26953125" style="211" customWidth="1"/>
    <col min="17" max="17" width="20.26953125" style="211" customWidth="1"/>
    <col min="18" max="18" width="15" style="211" hidden="1" customWidth="1"/>
    <col min="19" max="19" width="0.1796875" style="211" customWidth="1"/>
    <col min="20" max="20" width="14.81640625" style="211" customWidth="1"/>
    <col min="21" max="21" width="14.54296875" style="223" customWidth="1"/>
    <col min="22" max="22" width="4.26953125" style="223" hidden="1" customWidth="1"/>
    <col min="23" max="23" width="18" style="211" customWidth="1"/>
    <col min="24" max="24" width="14.54296875" style="223" customWidth="1"/>
    <col min="25" max="25" width="0.453125" style="223" customWidth="1"/>
    <col min="26" max="26" width="26.26953125" style="101" customWidth="1"/>
    <col min="27" max="27" width="20" style="213" customWidth="1"/>
    <col min="28" max="28" width="25.54296875" style="101" customWidth="1"/>
    <col min="29" max="29" width="31.453125" style="1" customWidth="1"/>
    <col min="30" max="30" width="21.7265625" style="224" customWidth="1"/>
    <col min="31" max="32" width="23.1796875" style="211" customWidth="1"/>
    <col min="33" max="33" width="19" style="214" customWidth="1"/>
    <col min="34" max="34" width="18.453125" style="208" customWidth="1"/>
    <col min="35" max="35" width="18.7265625" style="215" customWidth="1"/>
    <col min="36" max="36" width="16.1796875" style="215" customWidth="1"/>
    <col min="37" max="37" width="18.453125" style="216" customWidth="1"/>
    <col min="38" max="38" width="19.26953125" style="208" customWidth="1"/>
    <col min="39" max="39" width="23.453125" style="214" customWidth="1"/>
    <col min="40" max="40" width="14.81640625" style="225" customWidth="1"/>
    <col min="41" max="41" width="27.1796875" style="208" customWidth="1"/>
    <col min="42" max="42" width="27.54296875" style="218" customWidth="1"/>
    <col min="43" max="43" width="24.453125" style="208" customWidth="1"/>
    <col min="44" max="44" width="25.1796875" style="219" customWidth="1"/>
    <col min="45" max="45" width="26.81640625" style="208" customWidth="1"/>
    <col min="46" max="46" width="33" style="208" customWidth="1"/>
    <col min="47" max="47" width="35.7265625" style="208" customWidth="1"/>
    <col min="48" max="48" width="35.81640625" style="220" customWidth="1"/>
    <col min="49" max="49" width="36" style="220" customWidth="1"/>
    <col min="50" max="50" width="34.7265625" style="221" customWidth="1"/>
    <col min="51" max="51" width="33" style="222" customWidth="1"/>
    <col min="52" max="53" width="10.81640625" style="89"/>
    <col min="54" max="54" width="18.7265625" style="89" customWidth="1"/>
    <col min="55" max="16384" width="10.81640625" style="89"/>
  </cols>
  <sheetData>
    <row r="1" spans="1:58" ht="69" customHeight="1">
      <c r="A1" s="243" t="s">
        <v>142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 t="s">
        <v>142</v>
      </c>
      <c r="AA1" s="243"/>
      <c r="AB1" s="243"/>
      <c r="AC1" s="243"/>
      <c r="AD1" s="243"/>
      <c r="AE1" s="243"/>
      <c r="AF1" s="243"/>
      <c r="AG1" s="243"/>
      <c r="AH1" s="243"/>
      <c r="AI1" s="243"/>
      <c r="AJ1" s="243"/>
      <c r="AK1" s="243"/>
      <c r="AL1" s="243"/>
      <c r="AM1" s="243"/>
      <c r="AN1" s="243"/>
      <c r="AO1" s="243"/>
      <c r="AP1" s="243"/>
      <c r="AQ1" s="243"/>
      <c r="AR1" s="243"/>
      <c r="AS1" s="243"/>
      <c r="AT1" s="243"/>
      <c r="AU1" s="243"/>
      <c r="AV1" s="243"/>
      <c r="AW1" s="243"/>
      <c r="AX1" s="243"/>
      <c r="AY1" s="88"/>
    </row>
    <row r="2" spans="1:58" ht="47.25" customHeight="1" thickBot="1">
      <c r="A2" s="244" t="s">
        <v>168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 t="s">
        <v>168</v>
      </c>
      <c r="AA2" s="244"/>
      <c r="AB2" s="244"/>
      <c r="AC2" s="244"/>
      <c r="AD2" s="244"/>
      <c r="AE2" s="244"/>
      <c r="AF2" s="244"/>
      <c r="AG2" s="244"/>
      <c r="AH2" s="244"/>
      <c r="AI2" s="244"/>
      <c r="AJ2" s="244"/>
      <c r="AK2" s="244"/>
      <c r="AL2" s="244"/>
      <c r="AM2" s="244"/>
      <c r="AN2" s="244"/>
      <c r="AO2" s="244"/>
      <c r="AP2" s="244"/>
      <c r="AQ2" s="244"/>
      <c r="AR2" s="244"/>
      <c r="AS2" s="244"/>
      <c r="AT2" s="244"/>
      <c r="AU2" s="244"/>
      <c r="AV2" s="244"/>
      <c r="AW2" s="244"/>
      <c r="AX2" s="244"/>
      <c r="AY2" s="90"/>
    </row>
    <row r="3" spans="1:58" s="101" customFormat="1" ht="88.5" customHeight="1" thickBot="1">
      <c r="A3" s="91" t="s">
        <v>0</v>
      </c>
      <c r="B3" s="92" t="s">
        <v>59</v>
      </c>
      <c r="C3" s="92" t="s">
        <v>15</v>
      </c>
      <c r="D3" s="92" t="s">
        <v>60</v>
      </c>
      <c r="E3" s="92" t="s">
        <v>35</v>
      </c>
      <c r="F3" s="92" t="s">
        <v>144</v>
      </c>
      <c r="G3" s="92" t="s">
        <v>1</v>
      </c>
      <c r="H3" s="92" t="s">
        <v>16</v>
      </c>
      <c r="I3" s="92" t="s">
        <v>81</v>
      </c>
      <c r="J3" s="92" t="s">
        <v>146</v>
      </c>
      <c r="K3" s="93" t="s">
        <v>17</v>
      </c>
      <c r="L3" s="94" t="s">
        <v>18</v>
      </c>
      <c r="M3" s="94" t="s">
        <v>147</v>
      </c>
      <c r="N3" s="95" t="s">
        <v>82</v>
      </c>
      <c r="O3" s="95" t="s">
        <v>148</v>
      </c>
      <c r="P3" s="96" t="s">
        <v>149</v>
      </c>
      <c r="Q3" s="97" t="s">
        <v>169</v>
      </c>
      <c r="R3" s="97" t="s">
        <v>150</v>
      </c>
      <c r="S3" s="97" t="s">
        <v>151</v>
      </c>
      <c r="T3" s="94" t="s">
        <v>145</v>
      </c>
      <c r="U3" s="94" t="s">
        <v>152</v>
      </c>
      <c r="V3" s="94" t="s">
        <v>166</v>
      </c>
      <c r="W3" s="94" t="s">
        <v>153</v>
      </c>
      <c r="X3" s="94" t="s">
        <v>154</v>
      </c>
      <c r="Y3" s="94" t="s">
        <v>164</v>
      </c>
      <c r="Z3" s="92" t="s">
        <v>25</v>
      </c>
      <c r="AA3" s="92" t="s">
        <v>79</v>
      </c>
      <c r="AB3" s="92" t="s">
        <v>19</v>
      </c>
      <c r="AC3" s="92" t="s">
        <v>155</v>
      </c>
      <c r="AD3" s="95" t="s">
        <v>83</v>
      </c>
      <c r="AE3" s="98" t="s">
        <v>170</v>
      </c>
      <c r="AF3" s="59" t="s">
        <v>180</v>
      </c>
      <c r="AG3" s="92" t="s">
        <v>58</v>
      </c>
      <c r="AH3" s="92" t="s">
        <v>156</v>
      </c>
      <c r="AI3" s="95" t="s">
        <v>84</v>
      </c>
      <c r="AJ3" s="95" t="s">
        <v>85</v>
      </c>
      <c r="AK3" s="95" t="s">
        <v>157</v>
      </c>
      <c r="AL3" s="92" t="s">
        <v>2</v>
      </c>
      <c r="AM3" s="92" t="s">
        <v>3</v>
      </c>
      <c r="AN3" s="92" t="s">
        <v>20</v>
      </c>
      <c r="AO3" s="92" t="s">
        <v>37</v>
      </c>
      <c r="AP3" s="92" t="s">
        <v>86</v>
      </c>
      <c r="AQ3" s="92" t="s">
        <v>38</v>
      </c>
      <c r="AR3" s="92" t="s">
        <v>21</v>
      </c>
      <c r="AS3" s="92" t="s">
        <v>175</v>
      </c>
      <c r="AT3" s="92" t="s">
        <v>176</v>
      </c>
      <c r="AU3" s="92" t="s">
        <v>177</v>
      </c>
      <c r="AV3" s="92" t="s">
        <v>158</v>
      </c>
      <c r="AW3" s="92" t="s">
        <v>87</v>
      </c>
      <c r="AX3" s="99" t="s">
        <v>88</v>
      </c>
      <c r="AY3" s="100" t="s">
        <v>159</v>
      </c>
      <c r="BB3" s="102">
        <v>4488210003035200</v>
      </c>
    </row>
    <row r="4" spans="1:58" s="105" customFormat="1" ht="94.5" customHeight="1">
      <c r="A4" s="258" t="s">
        <v>4</v>
      </c>
      <c r="B4" s="258" t="s">
        <v>5</v>
      </c>
      <c r="C4" s="303" t="s">
        <v>61</v>
      </c>
      <c r="D4" s="308" t="s">
        <v>42</v>
      </c>
      <c r="E4" s="307" t="s">
        <v>62</v>
      </c>
      <c r="F4" s="245">
        <f>O4/36794</f>
        <v>6.5825949883133117E-2</v>
      </c>
      <c r="G4" s="312" t="s">
        <v>6</v>
      </c>
      <c r="H4" s="298" t="s">
        <v>8</v>
      </c>
      <c r="I4" s="301" t="s">
        <v>92</v>
      </c>
      <c r="J4" s="348" t="s">
        <v>42</v>
      </c>
      <c r="K4" s="296" t="s">
        <v>63</v>
      </c>
      <c r="L4" s="252">
        <v>5000</v>
      </c>
      <c r="M4" s="252">
        <f>1+149</f>
        <v>150</v>
      </c>
      <c r="N4" s="252">
        <f>381+700+126+45+48</f>
        <v>1300</v>
      </c>
      <c r="O4" s="252">
        <v>2422</v>
      </c>
      <c r="P4" s="252">
        <v>46</v>
      </c>
      <c r="Q4" s="252">
        <v>103</v>
      </c>
      <c r="R4" s="252">
        <v>0</v>
      </c>
      <c r="S4" s="252">
        <v>0</v>
      </c>
      <c r="T4" s="252">
        <f>P4+Q4</f>
        <v>149</v>
      </c>
      <c r="U4" s="240">
        <f>T4/(M4+N4)</f>
        <v>0.10275862068965518</v>
      </c>
      <c r="V4" s="248">
        <f>AVERAGE(U4:U7)</f>
        <v>5.4295977011494252E-2</v>
      </c>
      <c r="W4" s="252">
        <f>O4+T4</f>
        <v>2571</v>
      </c>
      <c r="X4" s="240">
        <f>W4/L4</f>
        <v>0.51419999999999999</v>
      </c>
      <c r="Y4" s="248">
        <f>AVERAGE(X4:X7)</f>
        <v>0.58772500000000005</v>
      </c>
      <c r="Z4" s="281" t="s">
        <v>26</v>
      </c>
      <c r="AA4" s="277" t="s">
        <v>29</v>
      </c>
      <c r="AB4" s="279" t="s">
        <v>22</v>
      </c>
      <c r="AC4" s="26" t="s">
        <v>167</v>
      </c>
      <c r="AD4" s="24">
        <f>SUM(M4:N4)</f>
        <v>1450</v>
      </c>
      <c r="AE4" s="24">
        <f>46+103</f>
        <v>149</v>
      </c>
      <c r="AF4" s="64">
        <f>+AE4/AD4</f>
        <v>0.10275862068965518</v>
      </c>
      <c r="AG4" s="103" t="s">
        <v>127</v>
      </c>
      <c r="AH4" s="24">
        <f>90+90</f>
        <v>180</v>
      </c>
      <c r="AI4" s="261">
        <f>L4*4</f>
        <v>20000</v>
      </c>
      <c r="AJ4" s="261">
        <f>W4*4</f>
        <v>10284</v>
      </c>
      <c r="AK4" s="104">
        <f>AD4/SUM(AD4:AD7)</f>
        <v>0.32409476978095664</v>
      </c>
      <c r="AL4" s="257" t="s">
        <v>11</v>
      </c>
      <c r="AM4" s="257" t="s">
        <v>36</v>
      </c>
      <c r="AN4" s="290" t="s">
        <v>106</v>
      </c>
      <c r="AO4" s="267">
        <v>3128788736</v>
      </c>
      <c r="AP4" s="269" t="s">
        <v>121</v>
      </c>
      <c r="AQ4" s="257" t="s">
        <v>122</v>
      </c>
      <c r="AR4" s="257" t="s">
        <v>120</v>
      </c>
      <c r="AS4" s="271">
        <v>279200000</v>
      </c>
      <c r="AT4" s="271">
        <v>2954288736</v>
      </c>
      <c r="AU4" s="273">
        <f>+AT4/AO4</f>
        <v>0.94422761818585121</v>
      </c>
      <c r="AV4" s="257" t="s">
        <v>108</v>
      </c>
      <c r="AW4" s="257" t="s">
        <v>132</v>
      </c>
      <c r="AX4" s="284" t="s">
        <v>107</v>
      </c>
      <c r="AY4" s="294"/>
    </row>
    <row r="5" spans="1:58" s="105" customFormat="1" ht="100" customHeight="1">
      <c r="A5" s="258"/>
      <c r="B5" s="258"/>
      <c r="C5" s="265"/>
      <c r="D5" s="309"/>
      <c r="E5" s="265"/>
      <c r="F5" s="315"/>
      <c r="G5" s="313"/>
      <c r="H5" s="299"/>
      <c r="I5" s="302"/>
      <c r="J5" s="299"/>
      <c r="K5" s="265"/>
      <c r="L5" s="253"/>
      <c r="M5" s="253"/>
      <c r="N5" s="253"/>
      <c r="O5" s="253"/>
      <c r="P5" s="253"/>
      <c r="Q5" s="253"/>
      <c r="R5" s="253"/>
      <c r="S5" s="253"/>
      <c r="T5" s="253"/>
      <c r="U5" s="241"/>
      <c r="V5" s="249"/>
      <c r="W5" s="253"/>
      <c r="X5" s="241"/>
      <c r="Y5" s="249"/>
      <c r="Z5" s="281"/>
      <c r="AA5" s="260"/>
      <c r="AB5" s="265"/>
      <c r="AC5" s="3" t="s">
        <v>110</v>
      </c>
      <c r="AD5" s="4">
        <v>1074</v>
      </c>
      <c r="AE5" s="4">
        <v>0</v>
      </c>
      <c r="AF5" s="63">
        <v>0</v>
      </c>
      <c r="AG5" s="106" t="s">
        <v>160</v>
      </c>
      <c r="AH5" s="4">
        <v>0</v>
      </c>
      <c r="AI5" s="262"/>
      <c r="AJ5" s="262"/>
      <c r="AK5" s="107">
        <f>AD5/SUM(AD4:AD7)</f>
        <v>0.2400536432722396</v>
      </c>
      <c r="AL5" s="258"/>
      <c r="AM5" s="258"/>
      <c r="AN5" s="291"/>
      <c r="AO5" s="268"/>
      <c r="AP5" s="270"/>
      <c r="AQ5" s="258"/>
      <c r="AR5" s="258"/>
      <c r="AS5" s="272"/>
      <c r="AT5" s="272"/>
      <c r="AU5" s="274"/>
      <c r="AV5" s="258"/>
      <c r="AW5" s="258"/>
      <c r="AX5" s="285"/>
      <c r="AY5" s="288"/>
    </row>
    <row r="6" spans="1:58" s="105" customFormat="1" ht="105" customHeight="1">
      <c r="A6" s="258"/>
      <c r="B6" s="258"/>
      <c r="C6" s="265"/>
      <c r="D6" s="309"/>
      <c r="E6" s="304" t="s">
        <v>39</v>
      </c>
      <c r="F6" s="345">
        <f>O6/36794</f>
        <v>7.169647225091047E-2</v>
      </c>
      <c r="G6" s="313"/>
      <c r="H6" s="346" t="s">
        <v>13</v>
      </c>
      <c r="I6" s="302" t="s">
        <v>40</v>
      </c>
      <c r="J6" s="299"/>
      <c r="K6" s="297" t="s">
        <v>124</v>
      </c>
      <c r="L6" s="253">
        <v>4000</v>
      </c>
      <c r="M6" s="253">
        <v>0</v>
      </c>
      <c r="N6" s="253">
        <f>126+374+700</f>
        <v>1200</v>
      </c>
      <c r="O6" s="253">
        <v>2638</v>
      </c>
      <c r="P6" s="253">
        <v>0</v>
      </c>
      <c r="Q6" s="253">
        <v>7</v>
      </c>
      <c r="R6" s="253">
        <v>0</v>
      </c>
      <c r="S6" s="253">
        <v>0</v>
      </c>
      <c r="T6" s="253">
        <f>P6+Q6</f>
        <v>7</v>
      </c>
      <c r="U6" s="255">
        <f>T6/(M6+N6)</f>
        <v>5.8333333333333336E-3</v>
      </c>
      <c r="V6" s="249"/>
      <c r="W6" s="253">
        <f>O6+T6</f>
        <v>2645</v>
      </c>
      <c r="X6" s="255">
        <f>W6/L6</f>
        <v>0.66125</v>
      </c>
      <c r="Y6" s="249"/>
      <c r="Z6" s="281"/>
      <c r="AA6" s="260"/>
      <c r="AB6" s="265"/>
      <c r="AC6" s="3" t="s">
        <v>171</v>
      </c>
      <c r="AD6" s="4">
        <v>1824</v>
      </c>
      <c r="AE6" s="4">
        <f>640+7</f>
        <v>647</v>
      </c>
      <c r="AF6" s="63">
        <f>+AE6/AD6</f>
        <v>0.35471491228070173</v>
      </c>
      <c r="AG6" s="106" t="s">
        <v>163</v>
      </c>
      <c r="AH6" s="4">
        <f>4+90</f>
        <v>94</v>
      </c>
      <c r="AI6" s="262"/>
      <c r="AJ6" s="262"/>
      <c r="AK6" s="107">
        <f>AD6/SUM(AD4:AD7)</f>
        <v>0.40768886902101026</v>
      </c>
      <c r="AL6" s="258"/>
      <c r="AM6" s="258"/>
      <c r="AN6" s="291" t="s">
        <v>106</v>
      </c>
      <c r="AO6" s="272">
        <v>3744000000</v>
      </c>
      <c r="AP6" s="270" t="s">
        <v>123</v>
      </c>
      <c r="AQ6" s="258"/>
      <c r="AR6" s="258" t="s">
        <v>120</v>
      </c>
      <c r="AS6" s="272">
        <v>13692537</v>
      </c>
      <c r="AT6" s="272">
        <v>2544000000</v>
      </c>
      <c r="AU6" s="274">
        <f>+AT6/AO6</f>
        <v>0.67948717948717952</v>
      </c>
      <c r="AV6" s="258" t="s">
        <v>108</v>
      </c>
      <c r="AW6" s="258" t="s">
        <v>172</v>
      </c>
      <c r="AX6" s="285" t="s">
        <v>107</v>
      </c>
      <c r="AY6" s="288"/>
    </row>
    <row r="7" spans="1:58" s="105" customFormat="1" ht="105" customHeight="1" thickBot="1">
      <c r="A7" s="258"/>
      <c r="B7" s="258"/>
      <c r="C7" s="265"/>
      <c r="D7" s="310"/>
      <c r="E7" s="305"/>
      <c r="F7" s="247"/>
      <c r="G7" s="313"/>
      <c r="H7" s="347"/>
      <c r="I7" s="344"/>
      <c r="J7" s="347"/>
      <c r="K7" s="266"/>
      <c r="L7" s="254"/>
      <c r="M7" s="254"/>
      <c r="N7" s="254"/>
      <c r="O7" s="254"/>
      <c r="P7" s="254"/>
      <c r="Q7" s="254"/>
      <c r="R7" s="254"/>
      <c r="S7" s="254"/>
      <c r="T7" s="254"/>
      <c r="U7" s="256"/>
      <c r="V7" s="249"/>
      <c r="W7" s="254"/>
      <c r="X7" s="256"/>
      <c r="Y7" s="250"/>
      <c r="Z7" s="281"/>
      <c r="AA7" s="278"/>
      <c r="AB7" s="266"/>
      <c r="AC7" s="5" t="s">
        <v>118</v>
      </c>
      <c r="AD7" s="6">
        <v>126</v>
      </c>
      <c r="AE7" s="6">
        <v>0</v>
      </c>
      <c r="AF7" s="63">
        <v>0</v>
      </c>
      <c r="AG7" s="108" t="s">
        <v>160</v>
      </c>
      <c r="AH7" s="6">
        <v>0</v>
      </c>
      <c r="AI7" s="263"/>
      <c r="AJ7" s="263"/>
      <c r="AK7" s="109">
        <f>AD7/SUM(AD4:AD7)</f>
        <v>2.8162717925793473E-2</v>
      </c>
      <c r="AL7" s="259"/>
      <c r="AM7" s="259"/>
      <c r="AN7" s="292"/>
      <c r="AO7" s="275"/>
      <c r="AP7" s="293"/>
      <c r="AQ7" s="259"/>
      <c r="AR7" s="259"/>
      <c r="AS7" s="275"/>
      <c r="AT7" s="275"/>
      <c r="AU7" s="276"/>
      <c r="AV7" s="259"/>
      <c r="AW7" s="259"/>
      <c r="AX7" s="286"/>
      <c r="AY7" s="295"/>
    </row>
    <row r="8" spans="1:58" s="105" customFormat="1" ht="105" customHeight="1" thickBot="1">
      <c r="A8" s="258"/>
      <c r="B8" s="258"/>
      <c r="C8" s="232"/>
      <c r="D8" s="226"/>
      <c r="E8" s="111"/>
      <c r="F8" s="51"/>
      <c r="G8" s="314"/>
      <c r="H8" s="311" t="s">
        <v>178</v>
      </c>
      <c r="I8" s="311"/>
      <c r="J8" s="311"/>
      <c r="K8" s="311"/>
      <c r="L8" s="311"/>
      <c r="M8" s="311"/>
      <c r="N8" s="311"/>
      <c r="O8" s="311"/>
      <c r="P8" s="311"/>
      <c r="Q8" s="311"/>
      <c r="R8" s="311"/>
      <c r="S8" s="311"/>
      <c r="T8" s="311"/>
      <c r="U8" s="58">
        <f>AVERAGE(U4:U7)</f>
        <v>5.4295977011494252E-2</v>
      </c>
      <c r="V8" s="58"/>
      <c r="W8" s="112"/>
      <c r="X8" s="58">
        <f>AVERAGE(X4:X7)</f>
        <v>0.58772500000000005</v>
      </c>
      <c r="Y8" s="53"/>
      <c r="Z8" s="281"/>
      <c r="AA8" s="280" t="s">
        <v>179</v>
      </c>
      <c r="AB8" s="280"/>
      <c r="AC8" s="280"/>
      <c r="AD8" s="280"/>
      <c r="AE8" s="280"/>
      <c r="AF8" s="113">
        <f>AVERAGE(AF4:AF7)</f>
        <v>0.11436838324258923</v>
      </c>
      <c r="AG8" s="114"/>
      <c r="AH8" s="60"/>
      <c r="AI8" s="60"/>
      <c r="AJ8" s="60"/>
      <c r="AK8" s="71"/>
      <c r="AL8" s="56"/>
      <c r="AM8" s="56"/>
      <c r="AN8" s="115"/>
      <c r="AO8" s="116"/>
      <c r="AP8" s="55"/>
      <c r="AQ8" s="56"/>
      <c r="AR8" s="56"/>
      <c r="AS8" s="116"/>
      <c r="AT8" s="116"/>
      <c r="AU8" s="117"/>
      <c r="AV8" s="56"/>
      <c r="AW8" s="56"/>
      <c r="AX8" s="57"/>
      <c r="AY8" s="118"/>
    </row>
    <row r="9" spans="1:58" s="105" customFormat="1" ht="100" customHeight="1">
      <c r="A9" s="258"/>
      <c r="B9" s="258"/>
      <c r="C9" s="303" t="s">
        <v>64</v>
      </c>
      <c r="D9" s="308" t="s">
        <v>41</v>
      </c>
      <c r="E9" s="306" t="s">
        <v>43</v>
      </c>
      <c r="F9" s="245">
        <f>(O9+O11)/19258</f>
        <v>2.6534427251012568E-2</v>
      </c>
      <c r="G9" s="312" t="s">
        <v>7</v>
      </c>
      <c r="H9" s="298" t="s">
        <v>44</v>
      </c>
      <c r="I9" s="301" t="s">
        <v>93</v>
      </c>
      <c r="J9" s="323" t="s">
        <v>41</v>
      </c>
      <c r="K9" s="300" t="s">
        <v>46</v>
      </c>
      <c r="L9" s="252">
        <v>3500</v>
      </c>
      <c r="M9" s="252">
        <f>228+296</f>
        <v>524</v>
      </c>
      <c r="N9" s="252">
        <v>1136</v>
      </c>
      <c r="O9" s="252">
        <v>472</v>
      </c>
      <c r="P9" s="252">
        <f>100+275</f>
        <v>375</v>
      </c>
      <c r="Q9" s="252">
        <f>196+496</f>
        <v>692</v>
      </c>
      <c r="R9" s="252">
        <v>0</v>
      </c>
      <c r="S9" s="252">
        <v>0</v>
      </c>
      <c r="T9" s="252">
        <f>P9+Q9</f>
        <v>1067</v>
      </c>
      <c r="U9" s="240">
        <f>T9/(M9+N9)</f>
        <v>0.64277108433734942</v>
      </c>
      <c r="V9" s="248">
        <f>AVERAGE(U9:U11)</f>
        <v>0.3242184033584764</v>
      </c>
      <c r="W9" s="252">
        <f>O9+T9</f>
        <v>1539</v>
      </c>
      <c r="X9" s="240">
        <f>W9/L9</f>
        <v>0.43971428571428572</v>
      </c>
      <c r="Y9" s="248">
        <f>AVERAGE(X9:X11)</f>
        <v>0.24035714285714285</v>
      </c>
      <c r="Z9" s="264" t="s">
        <v>27</v>
      </c>
      <c r="AA9" s="260" t="s">
        <v>30</v>
      </c>
      <c r="AB9" s="265" t="s">
        <v>23</v>
      </c>
      <c r="AC9" s="3" t="s">
        <v>109</v>
      </c>
      <c r="AD9" s="4">
        <v>1364</v>
      </c>
      <c r="AE9" s="4">
        <f>275+496</f>
        <v>771</v>
      </c>
      <c r="AF9" s="64">
        <f>+AE9/AD9</f>
        <v>0.56524926686217014</v>
      </c>
      <c r="AG9" s="103" t="s">
        <v>107</v>
      </c>
      <c r="AH9" s="24">
        <f>90+90</f>
        <v>180</v>
      </c>
      <c r="AI9" s="261">
        <f>(L9+L11)*4</f>
        <v>18000</v>
      </c>
      <c r="AJ9" s="261">
        <f>(W9+W11)*4</f>
        <v>6320</v>
      </c>
      <c r="AK9" s="119">
        <f>AD9/SUM(AD9:AD11)</f>
        <v>0.67759562841530052</v>
      </c>
      <c r="AL9" s="257" t="s">
        <v>11</v>
      </c>
      <c r="AM9" s="257" t="s">
        <v>36</v>
      </c>
      <c r="AN9" s="290" t="s">
        <v>106</v>
      </c>
      <c r="AO9" s="271">
        <v>1804466261</v>
      </c>
      <c r="AP9" s="269" t="s">
        <v>121</v>
      </c>
      <c r="AQ9" s="257" t="s">
        <v>128</v>
      </c>
      <c r="AR9" s="257" t="s">
        <v>129</v>
      </c>
      <c r="AS9" s="271">
        <v>295177000</v>
      </c>
      <c r="AT9" s="271">
        <v>1648466261</v>
      </c>
      <c r="AU9" s="273">
        <f>+AT9/AO9</f>
        <v>0.91354784327552463</v>
      </c>
      <c r="AV9" s="257" t="s">
        <v>108</v>
      </c>
      <c r="AW9" s="257" t="s">
        <v>173</v>
      </c>
      <c r="AX9" s="284" t="s">
        <v>107</v>
      </c>
      <c r="AY9" s="287"/>
    </row>
    <row r="10" spans="1:58" s="105" customFormat="1" ht="100" customHeight="1">
      <c r="A10" s="258"/>
      <c r="B10" s="258"/>
      <c r="C10" s="265"/>
      <c r="D10" s="309"/>
      <c r="E10" s="304"/>
      <c r="F10" s="246"/>
      <c r="G10" s="313"/>
      <c r="H10" s="299"/>
      <c r="I10" s="302"/>
      <c r="J10" s="324"/>
      <c r="K10" s="265"/>
      <c r="L10" s="253"/>
      <c r="M10" s="253"/>
      <c r="N10" s="253"/>
      <c r="O10" s="253"/>
      <c r="P10" s="253"/>
      <c r="Q10" s="253"/>
      <c r="R10" s="253"/>
      <c r="S10" s="253"/>
      <c r="T10" s="253"/>
      <c r="U10" s="241"/>
      <c r="V10" s="249"/>
      <c r="W10" s="253"/>
      <c r="X10" s="241"/>
      <c r="Y10" s="249"/>
      <c r="Z10" s="265"/>
      <c r="AA10" s="260"/>
      <c r="AB10" s="265"/>
      <c r="AC10" s="3" t="s">
        <v>125</v>
      </c>
      <c r="AD10" s="4">
        <v>296</v>
      </c>
      <c r="AE10" s="4">
        <f>100+196</f>
        <v>296</v>
      </c>
      <c r="AF10" s="63">
        <f>+AE10/AD10</f>
        <v>1</v>
      </c>
      <c r="AG10" s="106" t="s">
        <v>161</v>
      </c>
      <c r="AH10" s="4">
        <f>10+90</f>
        <v>100</v>
      </c>
      <c r="AI10" s="262"/>
      <c r="AJ10" s="262"/>
      <c r="AK10" s="120">
        <f>AD10/SUM(AD9:AD11)</f>
        <v>0.14704421261798312</v>
      </c>
      <c r="AL10" s="258"/>
      <c r="AM10" s="258"/>
      <c r="AN10" s="291"/>
      <c r="AO10" s="272"/>
      <c r="AP10" s="270"/>
      <c r="AQ10" s="258"/>
      <c r="AR10" s="258"/>
      <c r="AS10" s="272"/>
      <c r="AT10" s="272"/>
      <c r="AU10" s="274"/>
      <c r="AV10" s="258"/>
      <c r="AW10" s="258"/>
      <c r="AX10" s="285"/>
      <c r="AY10" s="288"/>
    </row>
    <row r="11" spans="1:58" s="105" customFormat="1" ht="100" customHeight="1" thickBot="1">
      <c r="A11" s="258"/>
      <c r="B11" s="258"/>
      <c r="C11" s="265"/>
      <c r="D11" s="310"/>
      <c r="E11" s="305"/>
      <c r="F11" s="247"/>
      <c r="G11" s="313"/>
      <c r="H11" s="121" t="s">
        <v>45</v>
      </c>
      <c r="I11" s="122" t="s">
        <v>94</v>
      </c>
      <c r="J11" s="325"/>
      <c r="K11" s="123" t="s">
        <v>47</v>
      </c>
      <c r="L11" s="47">
        <v>1000</v>
      </c>
      <c r="M11" s="47">
        <v>8</v>
      </c>
      <c r="N11" s="47">
        <f>100+15+230</f>
        <v>345</v>
      </c>
      <c r="O11" s="47">
        <v>39</v>
      </c>
      <c r="P11" s="47">
        <v>0</v>
      </c>
      <c r="Q11" s="47">
        <v>2</v>
      </c>
      <c r="R11" s="47">
        <v>0</v>
      </c>
      <c r="S11" s="47">
        <v>0</v>
      </c>
      <c r="T11" s="47">
        <f>P11+Q11</f>
        <v>2</v>
      </c>
      <c r="U11" s="20">
        <f>T11/(M11+N11)</f>
        <v>5.6657223796033997E-3</v>
      </c>
      <c r="V11" s="249"/>
      <c r="W11" s="47">
        <f>O11+T11</f>
        <v>41</v>
      </c>
      <c r="X11" s="20">
        <f>W11/L11</f>
        <v>4.1000000000000002E-2</v>
      </c>
      <c r="Y11" s="250"/>
      <c r="Z11" s="266"/>
      <c r="AA11" s="260"/>
      <c r="AB11" s="265"/>
      <c r="AC11" s="3" t="s">
        <v>126</v>
      </c>
      <c r="AD11" s="4">
        <v>353</v>
      </c>
      <c r="AE11" s="4">
        <v>2</v>
      </c>
      <c r="AF11" s="63">
        <f>+AE11/AD11</f>
        <v>5.6657223796033997E-3</v>
      </c>
      <c r="AG11" s="108" t="s">
        <v>162</v>
      </c>
      <c r="AH11" s="6">
        <f>60</f>
        <v>60</v>
      </c>
      <c r="AI11" s="263"/>
      <c r="AJ11" s="263"/>
      <c r="AK11" s="124">
        <f>AD11/SUM(AD9:AD11)</f>
        <v>0.17536015896671633</v>
      </c>
      <c r="AL11" s="259"/>
      <c r="AM11" s="259"/>
      <c r="AN11" s="292"/>
      <c r="AO11" s="275"/>
      <c r="AP11" s="293"/>
      <c r="AQ11" s="259"/>
      <c r="AR11" s="259"/>
      <c r="AS11" s="275"/>
      <c r="AT11" s="275"/>
      <c r="AU11" s="276"/>
      <c r="AV11" s="259"/>
      <c r="AW11" s="259"/>
      <c r="AX11" s="286"/>
      <c r="AY11" s="289"/>
    </row>
    <row r="12" spans="1:58" s="105" customFormat="1" ht="100" customHeight="1" thickBot="1">
      <c r="A12" s="258"/>
      <c r="B12" s="258"/>
      <c r="C12" s="232"/>
      <c r="D12" s="226"/>
      <c r="E12" s="111"/>
      <c r="F12" s="46"/>
      <c r="G12" s="314"/>
      <c r="H12" s="311" t="s">
        <v>181</v>
      </c>
      <c r="I12" s="311"/>
      <c r="J12" s="311"/>
      <c r="K12" s="311"/>
      <c r="L12" s="311"/>
      <c r="M12" s="311"/>
      <c r="N12" s="311"/>
      <c r="O12" s="311"/>
      <c r="P12" s="311"/>
      <c r="Q12" s="311"/>
      <c r="R12" s="311"/>
      <c r="S12" s="311"/>
      <c r="T12" s="311"/>
      <c r="U12" s="61">
        <f>AVERAGE(U9:U11)</f>
        <v>0.3242184033584764</v>
      </c>
      <c r="V12" s="44"/>
      <c r="W12" s="41"/>
      <c r="X12" s="61">
        <f>AVERAGE(X9:X11)</f>
        <v>0.24035714285714285</v>
      </c>
      <c r="Y12" s="53"/>
      <c r="Z12" s="110"/>
      <c r="AA12" s="330" t="s">
        <v>182</v>
      </c>
      <c r="AB12" s="331"/>
      <c r="AC12" s="331"/>
      <c r="AD12" s="331"/>
      <c r="AE12" s="332"/>
      <c r="AF12" s="66">
        <f>AVERAGE(AF9:AF11)</f>
        <v>0.52363832974725788</v>
      </c>
      <c r="AG12" s="114"/>
      <c r="AH12" s="60"/>
      <c r="AI12" s="60"/>
      <c r="AJ12" s="60"/>
      <c r="AK12" s="125"/>
      <c r="AL12" s="56"/>
      <c r="AM12" s="56"/>
      <c r="AN12" s="115"/>
      <c r="AO12" s="116"/>
      <c r="AP12" s="55"/>
      <c r="AQ12" s="56"/>
      <c r="AR12" s="56"/>
      <c r="AS12" s="116"/>
      <c r="AT12" s="116"/>
      <c r="AU12" s="117"/>
      <c r="AV12" s="56"/>
      <c r="AW12" s="56"/>
      <c r="AX12" s="57"/>
      <c r="AY12" s="118"/>
    </row>
    <row r="13" spans="1:58" s="105" customFormat="1" ht="183" customHeight="1" thickBot="1">
      <c r="A13" s="258"/>
      <c r="B13" s="258"/>
      <c r="C13" s="233" t="s">
        <v>65</v>
      </c>
      <c r="D13" s="227" t="s">
        <v>48</v>
      </c>
      <c r="E13" s="127" t="s">
        <v>49</v>
      </c>
      <c r="F13" s="18">
        <f>(O13)/14770</f>
        <v>3.2701421800947865E-2</v>
      </c>
      <c r="G13" s="312" t="s">
        <v>50</v>
      </c>
      <c r="H13" s="128" t="s">
        <v>66</v>
      </c>
      <c r="I13" s="129" t="s">
        <v>95</v>
      </c>
      <c r="J13" s="130" t="s">
        <v>48</v>
      </c>
      <c r="K13" s="131" t="s">
        <v>51</v>
      </c>
      <c r="L13" s="41">
        <v>4500</v>
      </c>
      <c r="M13" s="41">
        <v>181</v>
      </c>
      <c r="N13" s="41">
        <v>3319</v>
      </c>
      <c r="O13" s="41">
        <v>483</v>
      </c>
      <c r="P13" s="41">
        <v>9</v>
      </c>
      <c r="Q13" s="41">
        <v>244</v>
      </c>
      <c r="R13" s="41">
        <v>0</v>
      </c>
      <c r="S13" s="41">
        <v>0</v>
      </c>
      <c r="T13" s="41">
        <f>P13+Q13</f>
        <v>253</v>
      </c>
      <c r="U13" s="44">
        <f>T13/(M13+N13)</f>
        <v>7.2285714285714286E-2</v>
      </c>
      <c r="V13" s="53">
        <f>U13</f>
        <v>7.2285714285714286E-2</v>
      </c>
      <c r="W13" s="52">
        <f>O13+T13</f>
        <v>736</v>
      </c>
      <c r="X13" s="53">
        <f>W13/L13</f>
        <v>0.16355555555555557</v>
      </c>
      <c r="Y13" s="21">
        <f>X13</f>
        <v>0.16355555555555557</v>
      </c>
      <c r="Z13" s="132" t="s">
        <v>28</v>
      </c>
      <c r="AA13" s="133" t="s">
        <v>31</v>
      </c>
      <c r="AB13" s="134" t="s">
        <v>24</v>
      </c>
      <c r="AC13" s="8" t="s">
        <v>67</v>
      </c>
      <c r="AD13" s="9">
        <v>3500</v>
      </c>
      <c r="AE13" s="62">
        <f>T13</f>
        <v>253</v>
      </c>
      <c r="AF13" s="69">
        <f>+AE13/AD13</f>
        <v>7.2285714285714286E-2</v>
      </c>
      <c r="AG13" s="135" t="s">
        <v>119</v>
      </c>
      <c r="AH13" s="9">
        <f>60+90</f>
        <v>150</v>
      </c>
      <c r="AI13" s="9">
        <f>L13*4</f>
        <v>18000</v>
      </c>
      <c r="AJ13" s="9">
        <f>W13*4</f>
        <v>2944</v>
      </c>
      <c r="AK13" s="22">
        <v>1</v>
      </c>
      <c r="AL13" s="126" t="s">
        <v>68</v>
      </c>
      <c r="AM13" s="126" t="s">
        <v>69</v>
      </c>
      <c r="AN13" s="136" t="s">
        <v>106</v>
      </c>
      <c r="AO13" s="137">
        <v>872345752</v>
      </c>
      <c r="AP13" s="10" t="s">
        <v>121</v>
      </c>
      <c r="AQ13" s="11" t="s">
        <v>130</v>
      </c>
      <c r="AR13" s="126" t="s">
        <v>131</v>
      </c>
      <c r="AS13" s="137">
        <v>519333515</v>
      </c>
      <c r="AT13" s="137">
        <v>484413809</v>
      </c>
      <c r="AU13" s="138">
        <f>+AT13/AO13</f>
        <v>0.55530024407111456</v>
      </c>
      <c r="AV13" s="126" t="s">
        <v>108</v>
      </c>
      <c r="AW13" s="126" t="s">
        <v>141</v>
      </c>
      <c r="AX13" s="139" t="s">
        <v>107</v>
      </c>
      <c r="AY13" s="7"/>
      <c r="BB13" s="89"/>
      <c r="BF13" s="89"/>
    </row>
    <row r="14" spans="1:58" s="105" customFormat="1" ht="48.75" customHeight="1" thickBot="1">
      <c r="A14" s="258"/>
      <c r="B14" s="258"/>
      <c r="C14" s="233"/>
      <c r="D14" s="227"/>
      <c r="E14" s="127"/>
      <c r="F14" s="42"/>
      <c r="G14" s="313"/>
      <c r="H14" s="333" t="s">
        <v>183</v>
      </c>
      <c r="I14" s="333"/>
      <c r="J14" s="333"/>
      <c r="K14" s="333"/>
      <c r="L14" s="333"/>
      <c r="M14" s="333"/>
      <c r="N14" s="333"/>
      <c r="O14" s="333"/>
      <c r="P14" s="333"/>
      <c r="Q14" s="333"/>
      <c r="R14" s="333"/>
      <c r="S14" s="333"/>
      <c r="T14" s="333"/>
      <c r="U14" s="68">
        <f>+U13</f>
        <v>7.2285714285714286E-2</v>
      </c>
      <c r="V14" s="53"/>
      <c r="W14" s="52"/>
      <c r="X14" s="68">
        <f>+X13</f>
        <v>0.16355555555555557</v>
      </c>
      <c r="Y14" s="21"/>
      <c r="Z14" s="132"/>
      <c r="AA14" s="334" t="s">
        <v>184</v>
      </c>
      <c r="AB14" s="335"/>
      <c r="AC14" s="335"/>
      <c r="AD14" s="335"/>
      <c r="AE14" s="336"/>
      <c r="AF14" s="70">
        <f>AVERAGE(AF13)</f>
        <v>7.2285714285714286E-2</v>
      </c>
      <c r="AG14" s="135"/>
      <c r="AH14" s="9"/>
      <c r="AI14" s="9"/>
      <c r="AJ14" s="9"/>
      <c r="AK14" s="22"/>
      <c r="AL14" s="126"/>
      <c r="AM14" s="126"/>
      <c r="AN14" s="136"/>
      <c r="AO14" s="137"/>
      <c r="AP14" s="10"/>
      <c r="AQ14" s="11"/>
      <c r="AR14" s="126"/>
      <c r="AS14" s="137"/>
      <c r="AT14" s="137"/>
      <c r="AU14" s="138"/>
      <c r="AV14" s="126"/>
      <c r="AW14" s="126"/>
      <c r="AX14" s="139"/>
      <c r="AY14" s="67"/>
      <c r="BB14" s="89"/>
      <c r="BF14" s="89"/>
    </row>
    <row r="15" spans="1:58" s="105" customFormat="1" ht="96.75" customHeight="1">
      <c r="A15" s="258"/>
      <c r="B15" s="258"/>
      <c r="C15" s="49" t="s">
        <v>9</v>
      </c>
      <c r="D15" s="228" t="s">
        <v>9</v>
      </c>
      <c r="E15" s="140" t="s">
        <v>9</v>
      </c>
      <c r="F15" s="19" t="s">
        <v>143</v>
      </c>
      <c r="G15" s="297" t="s">
        <v>10</v>
      </c>
      <c r="H15" s="128" t="s">
        <v>52</v>
      </c>
      <c r="I15" s="129" t="s">
        <v>96</v>
      </c>
      <c r="J15" s="141" t="s">
        <v>9</v>
      </c>
      <c r="K15" s="142" t="s">
        <v>53</v>
      </c>
      <c r="L15" s="41">
        <v>2</v>
      </c>
      <c r="M15" s="41">
        <v>0</v>
      </c>
      <c r="N15" s="41">
        <v>1</v>
      </c>
      <c r="O15" s="41">
        <v>1</v>
      </c>
      <c r="P15" s="41">
        <v>0</v>
      </c>
      <c r="Q15" s="75">
        <v>0.6</v>
      </c>
      <c r="R15" s="41">
        <v>0</v>
      </c>
      <c r="S15" s="41">
        <v>0</v>
      </c>
      <c r="T15" s="75">
        <f>P15+Q15</f>
        <v>0.6</v>
      </c>
      <c r="U15" s="43">
        <f>T15/(M15+N15)</f>
        <v>0.6</v>
      </c>
      <c r="V15" s="43">
        <f>AVERAGE(U15:U16)</f>
        <v>0.6</v>
      </c>
      <c r="W15" s="40">
        <f>O15+T15</f>
        <v>1.6</v>
      </c>
      <c r="X15" s="43">
        <f>W15/L15</f>
        <v>0.8</v>
      </c>
      <c r="Y15" s="43">
        <f>AVERAGE(X15)</f>
        <v>0.8</v>
      </c>
      <c r="Z15" s="143" t="s">
        <v>89</v>
      </c>
      <c r="AA15" s="144" t="s">
        <v>90</v>
      </c>
      <c r="AB15" s="145" t="s">
        <v>91</v>
      </c>
      <c r="AC15" s="26" t="s">
        <v>116</v>
      </c>
      <c r="AD15" s="24">
        <v>1</v>
      </c>
      <c r="AE15" s="37">
        <f>T15</f>
        <v>0.6</v>
      </c>
      <c r="AF15" s="64">
        <f>+AE15/AD15</f>
        <v>0.6</v>
      </c>
      <c r="AG15" s="103" t="s">
        <v>119</v>
      </c>
      <c r="AH15" s="24">
        <f>60+90</f>
        <v>150</v>
      </c>
      <c r="AI15" s="24">
        <f>2512*4</f>
        <v>10048</v>
      </c>
      <c r="AJ15" s="24">
        <v>0</v>
      </c>
      <c r="AK15" s="25">
        <v>1</v>
      </c>
      <c r="AL15" s="48" t="s">
        <v>11</v>
      </c>
      <c r="AM15" s="48" t="s">
        <v>36</v>
      </c>
      <c r="AN15" s="146" t="s">
        <v>106</v>
      </c>
      <c r="AO15" s="147">
        <v>90861993</v>
      </c>
      <c r="AP15" s="50" t="s">
        <v>121</v>
      </c>
      <c r="AQ15" s="33" t="s">
        <v>133</v>
      </c>
      <c r="AR15" s="48" t="s">
        <v>134</v>
      </c>
      <c r="AS15" s="147">
        <v>68000000</v>
      </c>
      <c r="AT15" s="147">
        <v>44976999</v>
      </c>
      <c r="AU15" s="148">
        <f>+AT15/AO15</f>
        <v>0.49500343889661325</v>
      </c>
      <c r="AV15" s="48" t="s">
        <v>108</v>
      </c>
      <c r="AW15" s="48" t="s">
        <v>132</v>
      </c>
      <c r="AX15" s="149" t="s">
        <v>107</v>
      </c>
      <c r="AY15" s="282"/>
    </row>
    <row r="16" spans="1:58" s="105" customFormat="1" ht="129.75" customHeight="1" thickBot="1">
      <c r="A16" s="258"/>
      <c r="B16" s="258"/>
      <c r="C16" s="49" t="s">
        <v>9</v>
      </c>
      <c r="D16" s="229" t="s">
        <v>9</v>
      </c>
      <c r="E16" s="151" t="s">
        <v>9</v>
      </c>
      <c r="F16" s="23" t="s">
        <v>143</v>
      </c>
      <c r="G16" s="297"/>
      <c r="H16" s="128" t="s">
        <v>70</v>
      </c>
      <c r="I16" s="129" t="s">
        <v>97</v>
      </c>
      <c r="J16" s="141" t="s">
        <v>9</v>
      </c>
      <c r="K16" s="76" t="s">
        <v>71</v>
      </c>
      <c r="L16" s="41">
        <v>10</v>
      </c>
      <c r="M16" s="41" t="s">
        <v>14</v>
      </c>
      <c r="N16" s="41" t="s">
        <v>14</v>
      </c>
      <c r="O16" s="41">
        <v>0</v>
      </c>
      <c r="P16" s="41" t="s">
        <v>14</v>
      </c>
      <c r="Q16" s="41" t="s">
        <v>14</v>
      </c>
      <c r="R16" s="41" t="s">
        <v>14</v>
      </c>
      <c r="S16" s="41" t="s">
        <v>14</v>
      </c>
      <c r="T16" s="41" t="s">
        <v>14</v>
      </c>
      <c r="U16" s="20" t="s">
        <v>14</v>
      </c>
      <c r="V16" s="152"/>
      <c r="W16" s="52">
        <v>0</v>
      </c>
      <c r="X16" s="53"/>
      <c r="Y16" s="153"/>
      <c r="Z16" s="319" t="s">
        <v>89</v>
      </c>
      <c r="AA16" s="154" t="s">
        <v>90</v>
      </c>
      <c r="AB16" s="155" t="s">
        <v>91</v>
      </c>
      <c r="AC16" s="54" t="s">
        <v>116</v>
      </c>
      <c r="AD16" s="60">
        <v>1</v>
      </c>
      <c r="AE16" s="72">
        <f>AE15</f>
        <v>0.6</v>
      </c>
      <c r="AF16" s="65">
        <f>+AE16/AD16</f>
        <v>0.6</v>
      </c>
      <c r="AG16" s="156" t="s">
        <v>119</v>
      </c>
      <c r="AH16" s="29">
        <f>AH15</f>
        <v>150</v>
      </c>
      <c r="AI16" s="29">
        <f>2512*4</f>
        <v>10048</v>
      </c>
      <c r="AJ16" s="29">
        <v>0</v>
      </c>
      <c r="AK16" s="32">
        <v>1</v>
      </c>
      <c r="AL16" s="150" t="s">
        <v>11</v>
      </c>
      <c r="AM16" s="150" t="s">
        <v>36</v>
      </c>
      <c r="AN16" s="157" t="s">
        <v>106</v>
      </c>
      <c r="AO16" s="158">
        <v>90861993</v>
      </c>
      <c r="AP16" s="30" t="s">
        <v>121</v>
      </c>
      <c r="AQ16" s="34" t="s">
        <v>133</v>
      </c>
      <c r="AR16" s="150" t="s">
        <v>134</v>
      </c>
      <c r="AS16" s="158">
        <v>68000000</v>
      </c>
      <c r="AT16" s="158">
        <v>0</v>
      </c>
      <c r="AU16" s="158"/>
      <c r="AV16" s="150" t="s">
        <v>108</v>
      </c>
      <c r="AW16" s="150" t="s">
        <v>174</v>
      </c>
      <c r="AX16" s="159" t="s">
        <v>107</v>
      </c>
      <c r="AY16" s="283"/>
    </row>
    <row r="17" spans="1:51" s="105" customFormat="1" ht="154.5" customHeight="1">
      <c r="A17" s="258"/>
      <c r="B17" s="258"/>
      <c r="C17" s="49"/>
      <c r="D17" s="230"/>
      <c r="E17" s="160"/>
      <c r="F17" s="71"/>
      <c r="G17" s="297"/>
      <c r="H17" s="337" t="s">
        <v>185</v>
      </c>
      <c r="I17" s="338"/>
      <c r="J17" s="338"/>
      <c r="K17" s="338"/>
      <c r="L17" s="338"/>
      <c r="M17" s="338"/>
      <c r="N17" s="338"/>
      <c r="O17" s="338"/>
      <c r="P17" s="338"/>
      <c r="Q17" s="338"/>
      <c r="R17" s="338"/>
      <c r="S17" s="338"/>
      <c r="T17" s="339"/>
      <c r="U17" s="61">
        <f>AVERAGE(U15:U16)</f>
        <v>0.6</v>
      </c>
      <c r="V17" s="161"/>
      <c r="W17" s="41"/>
      <c r="X17" s="58">
        <f>AVERAGE(X15:X16)</f>
        <v>0.8</v>
      </c>
      <c r="Y17" s="53"/>
      <c r="Z17" s="320"/>
      <c r="AA17" s="318" t="s">
        <v>189</v>
      </c>
      <c r="AB17" s="318"/>
      <c r="AC17" s="318"/>
      <c r="AD17" s="318"/>
      <c r="AE17" s="318"/>
      <c r="AF17" s="63">
        <f>AVERAGE(AF15:AF16)</f>
        <v>0.6</v>
      </c>
      <c r="AG17" s="114"/>
      <c r="AH17" s="60"/>
      <c r="AI17" s="60"/>
      <c r="AJ17" s="60"/>
      <c r="AK17" s="73"/>
      <c r="AL17" s="56"/>
      <c r="AM17" s="56"/>
      <c r="AN17" s="115"/>
      <c r="AO17" s="116"/>
      <c r="AP17" s="55"/>
      <c r="AQ17" s="74"/>
      <c r="AR17" s="56"/>
      <c r="AS17" s="116"/>
      <c r="AT17" s="116"/>
      <c r="AU17" s="116"/>
      <c r="AV17" s="56"/>
      <c r="AW17" s="56"/>
      <c r="AX17" s="162"/>
      <c r="AY17" s="163"/>
    </row>
    <row r="18" spans="1:51" s="105" customFormat="1" ht="221.15" customHeight="1">
      <c r="A18" s="258"/>
      <c r="B18" s="258"/>
      <c r="C18" s="49" t="s">
        <v>9</v>
      </c>
      <c r="D18" s="231" t="s">
        <v>9</v>
      </c>
      <c r="E18" s="164" t="s">
        <v>9</v>
      </c>
      <c r="F18" s="81" t="s">
        <v>143</v>
      </c>
      <c r="G18" s="340" t="s">
        <v>112</v>
      </c>
      <c r="H18" s="165" t="s">
        <v>100</v>
      </c>
      <c r="I18" s="166" t="s">
        <v>101</v>
      </c>
      <c r="J18" s="167" t="s">
        <v>9</v>
      </c>
      <c r="K18" s="168" t="s">
        <v>102</v>
      </c>
      <c r="L18" s="12">
        <v>4</v>
      </c>
      <c r="M18" s="13" t="s">
        <v>14</v>
      </c>
      <c r="N18" s="13" t="s">
        <v>14</v>
      </c>
      <c r="O18" s="13">
        <v>0</v>
      </c>
      <c r="P18" s="13" t="s">
        <v>14</v>
      </c>
      <c r="Q18" s="13" t="s">
        <v>14</v>
      </c>
      <c r="R18" s="13" t="s">
        <v>14</v>
      </c>
      <c r="S18" s="13" t="s">
        <v>14</v>
      </c>
      <c r="T18" s="13" t="s">
        <v>14</v>
      </c>
      <c r="U18" s="15"/>
      <c r="V18" s="242">
        <f>AVERAGE(U19:U21)</f>
        <v>0.40862068965517234</v>
      </c>
      <c r="W18" s="13"/>
      <c r="X18" s="45"/>
      <c r="Y18" s="242">
        <f>AVERAGE(X19:X21)</f>
        <v>0.46666666666666662</v>
      </c>
      <c r="Z18" s="168" t="s">
        <v>103</v>
      </c>
      <c r="AA18" s="169" t="s">
        <v>104</v>
      </c>
      <c r="AB18" s="168" t="s">
        <v>105</v>
      </c>
      <c r="AC18" s="14" t="s">
        <v>14</v>
      </c>
      <c r="AD18" s="13" t="s">
        <v>14</v>
      </c>
      <c r="AE18" s="13" t="s">
        <v>14</v>
      </c>
      <c r="AF18" s="13" t="s">
        <v>14</v>
      </c>
      <c r="AG18" s="170" t="s">
        <v>14</v>
      </c>
      <c r="AH18" s="13" t="s">
        <v>14</v>
      </c>
      <c r="AI18" s="13" t="s">
        <v>14</v>
      </c>
      <c r="AJ18" s="13" t="s">
        <v>14</v>
      </c>
      <c r="AK18" s="15" t="s">
        <v>14</v>
      </c>
      <c r="AL18" s="164" t="s">
        <v>113</v>
      </c>
      <c r="AM18" s="164" t="s">
        <v>114</v>
      </c>
      <c r="AN18" s="171"/>
      <c r="AO18" s="15" t="s">
        <v>14</v>
      </c>
      <c r="AP18" s="2"/>
      <c r="AQ18" s="16"/>
      <c r="AR18" s="172"/>
      <c r="AS18" s="15" t="s">
        <v>14</v>
      </c>
      <c r="AT18" s="15"/>
      <c r="AU18" s="15"/>
      <c r="AV18" s="164" t="s">
        <v>111</v>
      </c>
      <c r="AW18" s="15" t="s">
        <v>143</v>
      </c>
      <c r="AX18" s="173"/>
      <c r="AY18" s="174"/>
    </row>
    <row r="19" spans="1:51" s="105" customFormat="1" ht="105" customHeight="1">
      <c r="A19" s="258"/>
      <c r="B19" s="258"/>
      <c r="C19" s="49" t="s">
        <v>9</v>
      </c>
      <c r="D19" s="231" t="s">
        <v>9</v>
      </c>
      <c r="E19" s="164" t="s">
        <v>9</v>
      </c>
      <c r="F19" s="81" t="s">
        <v>143</v>
      </c>
      <c r="G19" s="340"/>
      <c r="H19" s="165" t="s">
        <v>56</v>
      </c>
      <c r="I19" s="166" t="s">
        <v>98</v>
      </c>
      <c r="J19" s="167" t="s">
        <v>9</v>
      </c>
      <c r="K19" s="175" t="s">
        <v>72</v>
      </c>
      <c r="L19" s="12">
        <v>3</v>
      </c>
      <c r="M19" s="13">
        <v>0</v>
      </c>
      <c r="N19" s="13">
        <v>2</v>
      </c>
      <c r="O19" s="13">
        <v>1</v>
      </c>
      <c r="P19" s="13">
        <v>0</v>
      </c>
      <c r="Q19" s="35">
        <v>0.2</v>
      </c>
      <c r="R19" s="13">
        <v>0</v>
      </c>
      <c r="S19" s="13">
        <v>0</v>
      </c>
      <c r="T19" s="36">
        <f>P19+Q19</f>
        <v>0.2</v>
      </c>
      <c r="U19" s="15">
        <f>T19/N19</f>
        <v>0.1</v>
      </c>
      <c r="V19" s="242"/>
      <c r="W19" s="36">
        <f>O19+T19</f>
        <v>1.2</v>
      </c>
      <c r="X19" s="15">
        <f>W19/L19</f>
        <v>0.39999999999999997</v>
      </c>
      <c r="Y19" s="242"/>
      <c r="Z19" s="176" t="s">
        <v>73</v>
      </c>
      <c r="AA19" s="169" t="s">
        <v>32</v>
      </c>
      <c r="AB19" s="177" t="s">
        <v>12</v>
      </c>
      <c r="AC19" s="27" t="s">
        <v>57</v>
      </c>
      <c r="AD19" s="28">
        <v>2</v>
      </c>
      <c r="AE19" s="38">
        <f>T19</f>
        <v>0.2</v>
      </c>
      <c r="AF19" s="86">
        <f>+AE19/AD19</f>
        <v>0.1</v>
      </c>
      <c r="AG19" s="178" t="s">
        <v>119</v>
      </c>
      <c r="AH19" s="28">
        <f>60+90</f>
        <v>150</v>
      </c>
      <c r="AI19" s="28">
        <f>70822*4</f>
        <v>283288</v>
      </c>
      <c r="AJ19" s="28">
        <v>0</v>
      </c>
      <c r="AK19" s="39">
        <v>1</v>
      </c>
      <c r="AL19" s="164" t="s">
        <v>113</v>
      </c>
      <c r="AM19" s="164" t="s">
        <v>114</v>
      </c>
      <c r="AN19" s="171" t="s">
        <v>106</v>
      </c>
      <c r="AO19" s="179">
        <v>190861993</v>
      </c>
      <c r="AP19" s="2" t="s">
        <v>121</v>
      </c>
      <c r="AQ19" s="180" t="s">
        <v>73</v>
      </c>
      <c r="AR19" s="164" t="s">
        <v>137</v>
      </c>
      <c r="AS19" s="179">
        <v>88000000</v>
      </c>
      <c r="AT19" s="179">
        <v>65393665</v>
      </c>
      <c r="AU19" s="181">
        <f>+AT19/AO19</f>
        <v>0.34262277141787995</v>
      </c>
      <c r="AV19" s="164" t="s">
        <v>108</v>
      </c>
      <c r="AW19" s="164" t="s">
        <v>132</v>
      </c>
      <c r="AX19" s="182" t="s">
        <v>107</v>
      </c>
      <c r="AY19" s="183"/>
    </row>
    <row r="20" spans="1:51" s="105" customFormat="1" ht="176.15" customHeight="1" thickBot="1">
      <c r="A20" s="258"/>
      <c r="B20" s="258"/>
      <c r="C20" s="49" t="s">
        <v>9</v>
      </c>
      <c r="D20" s="231" t="s">
        <v>9</v>
      </c>
      <c r="E20" s="164" t="s">
        <v>9</v>
      </c>
      <c r="F20" s="82" t="s">
        <v>143</v>
      </c>
      <c r="G20" s="340"/>
      <c r="H20" s="184" t="s">
        <v>55</v>
      </c>
      <c r="I20" s="166" t="s">
        <v>140</v>
      </c>
      <c r="J20" s="167" t="s">
        <v>9</v>
      </c>
      <c r="K20" s="185" t="s">
        <v>80</v>
      </c>
      <c r="L20" s="12">
        <v>1</v>
      </c>
      <c r="M20" s="12">
        <v>0</v>
      </c>
      <c r="N20" s="12">
        <v>1</v>
      </c>
      <c r="O20" s="12">
        <v>0</v>
      </c>
      <c r="P20" s="12">
        <v>0</v>
      </c>
      <c r="Q20" s="35">
        <v>0.85</v>
      </c>
      <c r="R20" s="12">
        <v>0</v>
      </c>
      <c r="S20" s="12">
        <v>0</v>
      </c>
      <c r="T20" s="35">
        <f>P20+Q20</f>
        <v>0.85</v>
      </c>
      <c r="U20" s="45">
        <f>T20/N20</f>
        <v>0.85</v>
      </c>
      <c r="V20" s="242"/>
      <c r="W20" s="35">
        <f>O20+T20</f>
        <v>0.85</v>
      </c>
      <c r="X20" s="45">
        <f>W20/L20</f>
        <v>0.85</v>
      </c>
      <c r="Y20" s="242"/>
      <c r="Z20" s="176" t="s">
        <v>77</v>
      </c>
      <c r="AA20" s="169" t="s">
        <v>34</v>
      </c>
      <c r="AB20" s="180" t="s">
        <v>78</v>
      </c>
      <c r="AC20" s="27" t="s">
        <v>117</v>
      </c>
      <c r="AD20" s="28">
        <v>1</v>
      </c>
      <c r="AE20" s="38">
        <f>T20</f>
        <v>0.85</v>
      </c>
      <c r="AF20" s="86">
        <f>+AE20/AD20</f>
        <v>0.85</v>
      </c>
      <c r="AG20" s="31" t="s">
        <v>119</v>
      </c>
      <c r="AH20" s="28">
        <f>60+90</f>
        <v>150</v>
      </c>
      <c r="AI20" s="28">
        <f>36794*4</f>
        <v>147176</v>
      </c>
      <c r="AJ20" s="28">
        <v>0</v>
      </c>
      <c r="AK20" s="39">
        <v>1</v>
      </c>
      <c r="AL20" s="164" t="s">
        <v>113</v>
      </c>
      <c r="AM20" s="164" t="s">
        <v>114</v>
      </c>
      <c r="AN20" s="171" t="s">
        <v>106</v>
      </c>
      <c r="AO20" s="179">
        <v>81775793</v>
      </c>
      <c r="AP20" s="2" t="s">
        <v>121</v>
      </c>
      <c r="AQ20" s="186" t="s">
        <v>77</v>
      </c>
      <c r="AR20" s="164" t="s">
        <v>139</v>
      </c>
      <c r="AS20" s="158">
        <v>72000000</v>
      </c>
      <c r="AT20" s="187">
        <v>45000000</v>
      </c>
      <c r="AU20" s="188">
        <f>+AT20/AO20</f>
        <v>0.5502850947590322</v>
      </c>
      <c r="AV20" s="164" t="s">
        <v>108</v>
      </c>
      <c r="AW20" s="164" t="s">
        <v>132</v>
      </c>
      <c r="AX20" s="182" t="s">
        <v>107</v>
      </c>
      <c r="AY20" s="189"/>
    </row>
    <row r="21" spans="1:51" s="105" customFormat="1" ht="222" customHeight="1" thickBot="1">
      <c r="A21" s="258"/>
      <c r="B21" s="258"/>
      <c r="C21" s="259" t="s">
        <v>9</v>
      </c>
      <c r="D21" s="258" t="s">
        <v>9</v>
      </c>
      <c r="E21" s="258" t="s">
        <v>9</v>
      </c>
      <c r="F21" s="328" t="s">
        <v>143</v>
      </c>
      <c r="G21" s="340"/>
      <c r="H21" s="190" t="s">
        <v>54</v>
      </c>
      <c r="I21" s="191" t="s">
        <v>99</v>
      </c>
      <c r="J21" s="192" t="s">
        <v>9</v>
      </c>
      <c r="K21" s="193" t="s">
        <v>74</v>
      </c>
      <c r="L21" s="52">
        <v>6</v>
      </c>
      <c r="M21" s="83">
        <v>0</v>
      </c>
      <c r="N21" s="84">
        <v>2.9</v>
      </c>
      <c r="O21" s="84">
        <v>0.1</v>
      </c>
      <c r="P21" s="83">
        <v>0</v>
      </c>
      <c r="Q21" s="85">
        <v>0.8</v>
      </c>
      <c r="R21" s="83">
        <v>0</v>
      </c>
      <c r="S21" s="83">
        <v>0</v>
      </c>
      <c r="T21" s="85">
        <f>P21+Q21</f>
        <v>0.8</v>
      </c>
      <c r="U21" s="77">
        <f>T21/N21</f>
        <v>0.27586206896551724</v>
      </c>
      <c r="V21" s="242"/>
      <c r="W21" s="84">
        <f>O21+T21</f>
        <v>0.9</v>
      </c>
      <c r="X21" s="77">
        <f>W21/L21</f>
        <v>0.15</v>
      </c>
      <c r="Y21" s="251"/>
      <c r="Z21" s="194" t="s">
        <v>75</v>
      </c>
      <c r="AA21" s="154" t="s">
        <v>33</v>
      </c>
      <c r="AB21" s="195" t="s">
        <v>76</v>
      </c>
      <c r="AC21" s="54" t="s">
        <v>115</v>
      </c>
      <c r="AD21" s="60">
        <v>3</v>
      </c>
      <c r="AE21" s="72">
        <f>T21</f>
        <v>0.8</v>
      </c>
      <c r="AF21" s="65">
        <f>+AE21/AD21</f>
        <v>0.26666666666666666</v>
      </c>
      <c r="AG21" s="156" t="s">
        <v>162</v>
      </c>
      <c r="AH21" s="29">
        <f>60</f>
        <v>60</v>
      </c>
      <c r="AI21" s="29">
        <f>19258*4</f>
        <v>77032</v>
      </c>
      <c r="AJ21" s="29">
        <v>0</v>
      </c>
      <c r="AK21" s="32">
        <v>1</v>
      </c>
      <c r="AL21" s="150" t="s">
        <v>113</v>
      </c>
      <c r="AM21" s="150" t="s">
        <v>114</v>
      </c>
      <c r="AN21" s="157" t="s">
        <v>106</v>
      </c>
      <c r="AO21" s="158">
        <v>208000000</v>
      </c>
      <c r="AP21" s="30" t="s">
        <v>121</v>
      </c>
      <c r="AQ21" s="196" t="s">
        <v>75</v>
      </c>
      <c r="AR21" s="150" t="s">
        <v>138</v>
      </c>
      <c r="AS21" s="158">
        <v>0</v>
      </c>
      <c r="AT21" s="158">
        <v>208000000</v>
      </c>
      <c r="AU21" s="197">
        <f>+AT21/AO21</f>
        <v>1</v>
      </c>
      <c r="AV21" s="150" t="s">
        <v>108</v>
      </c>
      <c r="AW21" s="150" t="s">
        <v>135</v>
      </c>
      <c r="AX21" s="159" t="s">
        <v>162</v>
      </c>
      <c r="AY21" s="198"/>
    </row>
    <row r="22" spans="1:51" s="105" customFormat="1" ht="50.25" customHeight="1">
      <c r="A22" s="258"/>
      <c r="B22" s="258"/>
      <c r="C22" s="327"/>
      <c r="D22" s="258"/>
      <c r="E22" s="258"/>
      <c r="F22" s="329"/>
      <c r="G22" s="340"/>
      <c r="H22" s="341" t="s">
        <v>186</v>
      </c>
      <c r="I22" s="342"/>
      <c r="J22" s="342"/>
      <c r="K22" s="342"/>
      <c r="L22" s="342"/>
      <c r="M22" s="342"/>
      <c r="N22" s="342"/>
      <c r="O22" s="342"/>
      <c r="P22" s="342"/>
      <c r="Q22" s="342"/>
      <c r="R22" s="342"/>
      <c r="S22" s="342"/>
      <c r="T22" s="343"/>
      <c r="U22" s="61">
        <f>AVERAGE(U18:U21)</f>
        <v>0.40862068965517234</v>
      </c>
      <c r="V22" s="61"/>
      <c r="W22" s="234"/>
      <c r="X22" s="61">
        <f>AVERAGE(X18:X21)</f>
        <v>0.46666666666666662</v>
      </c>
      <c r="Y22" s="77"/>
      <c r="Z22" s="200"/>
      <c r="AA22" s="317" t="s">
        <v>188</v>
      </c>
      <c r="AB22" s="317"/>
      <c r="AC22" s="317"/>
      <c r="AD22" s="317"/>
      <c r="AE22" s="317"/>
      <c r="AF22" s="87">
        <f>AVERAGE(AF18:AF21)</f>
        <v>0.4055555555555555</v>
      </c>
      <c r="AG22" s="201"/>
      <c r="AH22" s="78"/>
      <c r="AI22" s="78"/>
      <c r="AJ22" s="78"/>
      <c r="AK22" s="79"/>
      <c r="AL22" s="199"/>
      <c r="AM22" s="199"/>
      <c r="AN22" s="202"/>
      <c r="AO22" s="203"/>
      <c r="AP22" s="80"/>
      <c r="AQ22" s="204"/>
      <c r="AR22" s="199"/>
      <c r="AS22" s="203"/>
      <c r="AT22" s="203"/>
      <c r="AU22" s="205"/>
      <c r="AV22" s="199"/>
      <c r="AW22" s="199"/>
      <c r="AX22" s="199"/>
      <c r="AY22" s="206"/>
    </row>
    <row r="23" spans="1:51" ht="62.25" customHeight="1">
      <c r="A23" s="207" t="s">
        <v>136</v>
      </c>
      <c r="F23" s="1"/>
      <c r="P23" s="316" t="s">
        <v>187</v>
      </c>
      <c r="Q23" s="316"/>
      <c r="R23" s="316"/>
      <c r="S23" s="316"/>
      <c r="T23" s="316"/>
      <c r="U23" s="235">
        <f>AVERAGE(U8,U12,U14,U17,U22)</f>
        <v>0.2918841568621714</v>
      </c>
      <c r="V23" s="236">
        <f>AVERAGE(V4:V21)</f>
        <v>0.2918841568621714</v>
      </c>
      <c r="W23" s="237" t="s">
        <v>165</v>
      </c>
      <c r="X23" s="235">
        <f>AVERAGE(X8,X12,X14,X17,X22)</f>
        <v>0.45166087301587304</v>
      </c>
      <c r="Y23" s="212">
        <f>AVERAGE(Y4:Y21)</f>
        <v>0.45166087301587304</v>
      </c>
      <c r="AD23" s="321" t="s">
        <v>190</v>
      </c>
      <c r="AE23" s="322"/>
      <c r="AF23" s="238">
        <f>AVERAGE(AF8,AF12,AF14,AF17,AF22)</f>
        <v>0.34316959656622337</v>
      </c>
      <c r="AM23" s="326" t="s">
        <v>191</v>
      </c>
      <c r="AN23" s="326"/>
      <c r="AO23" s="217">
        <f>SUM(AO4:AO21)-AO16</f>
        <v>10121100528</v>
      </c>
      <c r="AS23" s="217">
        <f>SUM(AS4:AS21)-AS16</f>
        <v>1335403052</v>
      </c>
      <c r="AT23" s="217">
        <f>SUM(AT4:AT21)-AT16</f>
        <v>7994539470</v>
      </c>
      <c r="AU23" s="239">
        <f>+AT23/AO23</f>
        <v>0.78988835728714735</v>
      </c>
    </row>
  </sheetData>
  <mergeCells count="141">
    <mergeCell ref="AM23:AN23"/>
    <mergeCell ref="A4:A22"/>
    <mergeCell ref="B4:B22"/>
    <mergeCell ref="D21:D22"/>
    <mergeCell ref="C21:C22"/>
    <mergeCell ref="E21:E22"/>
    <mergeCell ref="F21:F22"/>
    <mergeCell ref="H12:T12"/>
    <mergeCell ref="AA12:AE12"/>
    <mergeCell ref="H14:T14"/>
    <mergeCell ref="AA14:AE14"/>
    <mergeCell ref="G9:G12"/>
    <mergeCell ref="G13:G14"/>
    <mergeCell ref="G15:G17"/>
    <mergeCell ref="H17:T17"/>
    <mergeCell ref="G18:G22"/>
    <mergeCell ref="H22:T22"/>
    <mergeCell ref="D9:D11"/>
    <mergeCell ref="I6:I7"/>
    <mergeCell ref="U6:U7"/>
    <mergeCell ref="F6:F7"/>
    <mergeCell ref="H6:H7"/>
    <mergeCell ref="J4:J7"/>
    <mergeCell ref="T6:T7"/>
    <mergeCell ref="P23:T23"/>
    <mergeCell ref="AA22:AE22"/>
    <mergeCell ref="AA17:AE17"/>
    <mergeCell ref="Z16:Z17"/>
    <mergeCell ref="AD23:AE23"/>
    <mergeCell ref="I9:I10"/>
    <mergeCell ref="L9:L10"/>
    <mergeCell ref="J9:J11"/>
    <mergeCell ref="H9:H10"/>
    <mergeCell ref="X9:X10"/>
    <mergeCell ref="T4:T5"/>
    <mergeCell ref="T9:T10"/>
    <mergeCell ref="L6:L7"/>
    <mergeCell ref="L4:L5"/>
    <mergeCell ref="C4:C7"/>
    <mergeCell ref="E6:E7"/>
    <mergeCell ref="C9:C11"/>
    <mergeCell ref="E9:E11"/>
    <mergeCell ref="E4:E5"/>
    <mergeCell ref="D4:D7"/>
    <mergeCell ref="H8:T8"/>
    <mergeCell ref="G4:G8"/>
    <mergeCell ref="O6:O7"/>
    <mergeCell ref="F4:F5"/>
    <mergeCell ref="N9:N10"/>
    <mergeCell ref="R4:R5"/>
    <mergeCell ref="O4:O5"/>
    <mergeCell ref="R6:R7"/>
    <mergeCell ref="R9:R10"/>
    <mergeCell ref="Q4:Q5"/>
    <mergeCell ref="Q6:Q7"/>
    <mergeCell ref="Q9:Q10"/>
    <mergeCell ref="V4:V7"/>
    <mergeCell ref="V9:V11"/>
    <mergeCell ref="P6:P7"/>
    <mergeCell ref="K4:K5"/>
    <mergeCell ref="K6:K7"/>
    <mergeCell ref="H4:H5"/>
    <mergeCell ref="K9:K10"/>
    <mergeCell ref="N4:N5"/>
    <mergeCell ref="N6:N7"/>
    <mergeCell ref="M4:M5"/>
    <mergeCell ref="M6:M7"/>
    <mergeCell ref="M9:M10"/>
    <mergeCell ref="I4:I5"/>
    <mergeCell ref="AY15:AY16"/>
    <mergeCell ref="AW9:AW11"/>
    <mergeCell ref="AX9:AX11"/>
    <mergeCell ref="AY9:AY11"/>
    <mergeCell ref="AS9:AS11"/>
    <mergeCell ref="AM9:AM11"/>
    <mergeCell ref="AQ4:AQ7"/>
    <mergeCell ref="AN9:AN11"/>
    <mergeCell ref="AO9:AO11"/>
    <mergeCell ref="AP9:AP11"/>
    <mergeCell ref="AQ9:AQ11"/>
    <mergeCell ref="AR9:AR11"/>
    <mergeCell ref="AN4:AN5"/>
    <mergeCell ref="AN6:AN7"/>
    <mergeCell ref="AO6:AO7"/>
    <mergeCell ref="AS4:AS5"/>
    <mergeCell ref="AS6:AS7"/>
    <mergeCell ref="AP6:AP7"/>
    <mergeCell ref="AY4:AY7"/>
    <mergeCell ref="AW6:AW7"/>
    <mergeCell ref="AX6:AX7"/>
    <mergeCell ref="AW4:AW5"/>
    <mergeCell ref="AX4:AX5"/>
    <mergeCell ref="AV6:AV7"/>
    <mergeCell ref="AI9:AI11"/>
    <mergeCell ref="AJ9:AJ11"/>
    <mergeCell ref="AV4:AV5"/>
    <mergeCell ref="AR4:AR5"/>
    <mergeCell ref="AR6:AR7"/>
    <mergeCell ref="Z9:Z11"/>
    <mergeCell ref="AB9:AB11"/>
    <mergeCell ref="AO4:AO5"/>
    <mergeCell ref="AP4:AP5"/>
    <mergeCell ref="AL4:AL7"/>
    <mergeCell ref="AM4:AM7"/>
    <mergeCell ref="AT4:AT5"/>
    <mergeCell ref="AU4:AU5"/>
    <mergeCell ref="AT6:AT7"/>
    <mergeCell ref="AU6:AU7"/>
    <mergeCell ref="AT9:AT11"/>
    <mergeCell ref="AU9:AU11"/>
    <mergeCell ref="AA4:AA7"/>
    <mergeCell ref="AB4:AB7"/>
    <mergeCell ref="AA8:AE8"/>
    <mergeCell ref="Z4:Z8"/>
    <mergeCell ref="AL9:AL11"/>
    <mergeCell ref="AI4:AI7"/>
    <mergeCell ref="AJ4:AJ7"/>
    <mergeCell ref="U4:U5"/>
    <mergeCell ref="V18:V21"/>
    <mergeCell ref="A1:Y1"/>
    <mergeCell ref="A2:Y2"/>
    <mergeCell ref="Z2:AX2"/>
    <mergeCell ref="Z1:AX1"/>
    <mergeCell ref="F9:F11"/>
    <mergeCell ref="Y4:Y7"/>
    <mergeCell ref="Y9:Y11"/>
    <mergeCell ref="Y18:Y21"/>
    <mergeCell ref="P9:P10"/>
    <mergeCell ref="S4:S5"/>
    <mergeCell ref="S6:S7"/>
    <mergeCell ref="S9:S10"/>
    <mergeCell ref="O9:O10"/>
    <mergeCell ref="U9:U10"/>
    <mergeCell ref="W4:W5"/>
    <mergeCell ref="X4:X5"/>
    <mergeCell ref="W6:W7"/>
    <mergeCell ref="X6:X7"/>
    <mergeCell ref="W9:W10"/>
    <mergeCell ref="AV9:AV11"/>
    <mergeCell ref="P4:P5"/>
    <mergeCell ref="AA9:AA11"/>
  </mergeCells>
  <printOptions horizontalCentered="1"/>
  <pageMargins left="0" right="0" top="0.5" bottom="0.25" header="0.3" footer="0.3"/>
  <pageSetup paperSize="14" scale="42" pageOrder="overThenDown" orientation="landscape" horizontalDpi="4294967293" verticalDpi="4294967293" r:id="rId1"/>
  <colBreaks count="1" manualBreakCount="1">
    <brk id="25" max="17" man="1"/>
  </colBreaks>
  <ignoredErrors>
    <ignoredError sqref="Y4 Y23 V4 V23" emptyCellReference="1"/>
    <ignoredError sqref="AK9:AK11" formulaRange="1"/>
    <ignoredError sqref="T18 T5 T10 T7 T16" formulaRange="1" emptyCellReferenc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PLAN DE ACCIÓN 2022</vt:lpstr>
      <vt:lpstr>'PLAN DE ACCIÓN 2022'!_Hlk49970378</vt:lpstr>
      <vt:lpstr>'PLAN DE ACCIÓN 2022'!Área_de_impresión</vt:lpstr>
      <vt:lpstr>'PLAN DE ACCIÓN 2022'!Títulos_a_imprimir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LUZ  MARINA SEVERICHE MONROY</cp:lastModifiedBy>
  <cp:lastPrinted>2022-07-01T21:32:01Z</cp:lastPrinted>
  <dcterms:created xsi:type="dcterms:W3CDTF">2020-07-31T15:55:26Z</dcterms:created>
  <dcterms:modified xsi:type="dcterms:W3CDTF">2022-07-15T19:25:47Z</dcterms:modified>
</cp:coreProperties>
</file>