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garcia.CARTAGENA\Desktop\Evaluaciones Planes de accion 2018\"/>
    </mc:Choice>
  </mc:AlternateContent>
  <bookViews>
    <workbookView xWindow="0" yWindow="0" windowWidth="20490" windowHeight="5055"/>
  </bookViews>
  <sheets>
    <sheet name="FORMATO PLAN ACCION"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82" i="1" l="1"/>
  <c r="AM82" i="1"/>
  <c r="AO82" i="1" s="1"/>
  <c r="AO46" i="1"/>
  <c r="AO45" i="1"/>
  <c r="AO44" i="1"/>
  <c r="AP69" i="1" l="1"/>
  <c r="AO70" i="1"/>
  <c r="AP30" i="1"/>
  <c r="AO40" i="1" l="1"/>
  <c r="AP42" i="1"/>
  <c r="AO36" i="1"/>
  <c r="AO34" i="1"/>
  <c r="AO58" i="1" l="1"/>
  <c r="AP58" i="1" s="1"/>
  <c r="AP51" i="1"/>
  <c r="AO52" i="1"/>
  <c r="AO51" i="1"/>
  <c r="AO49" i="1"/>
  <c r="AP49" i="1" s="1"/>
  <c r="AO43" i="1"/>
  <c r="AO42" i="1"/>
  <c r="AO31" i="1"/>
  <c r="AO32" i="1"/>
  <c r="AO33" i="1"/>
  <c r="AO30" i="1"/>
  <c r="AO6" i="1" l="1"/>
  <c r="AO7" i="1"/>
  <c r="AO13" i="1"/>
  <c r="AO17" i="1"/>
  <c r="AO20" i="1"/>
  <c r="AO21" i="1"/>
  <c r="AO22" i="1"/>
  <c r="AO23" i="1"/>
  <c r="AO24" i="1"/>
  <c r="AO25" i="1"/>
  <c r="AO26" i="1"/>
  <c r="AO27" i="1"/>
  <c r="AO28" i="1"/>
  <c r="AO69" i="1"/>
  <c r="AO73" i="1"/>
  <c r="AP73" i="1" s="1"/>
  <c r="AO78" i="1"/>
  <c r="AP78" i="1" s="1"/>
  <c r="AP13" i="1"/>
  <c r="AP6" i="1"/>
  <c r="AP17" i="1"/>
  <c r="AP20" i="1"/>
  <c r="U6" i="1" l="1"/>
  <c r="V6" i="1" s="1"/>
  <c r="W6" i="1" s="1"/>
  <c r="AD6" i="1"/>
  <c r="W30" i="1" l="1"/>
  <c r="W22" i="1"/>
  <c r="W21" i="1"/>
  <c r="W16" i="1"/>
  <c r="W14" i="1"/>
  <c r="V73" i="1"/>
  <c r="V67" i="1"/>
  <c r="V66" i="1"/>
  <c r="V20" i="1"/>
  <c r="W20" i="1" s="1"/>
  <c r="U81" i="1"/>
  <c r="V81" i="1" s="1"/>
  <c r="U80" i="1"/>
  <c r="V80" i="1" s="1"/>
  <c r="U79" i="1"/>
  <c r="V79" i="1" s="1"/>
  <c r="U78" i="1"/>
  <c r="V78" i="1" s="1"/>
  <c r="U77" i="1"/>
  <c r="V77" i="1" s="1"/>
  <c r="U76" i="1"/>
  <c r="V76" i="1" s="1"/>
  <c r="U75" i="1"/>
  <c r="V75" i="1" s="1"/>
  <c r="U74" i="1"/>
  <c r="V74" i="1" s="1"/>
  <c r="U73" i="1"/>
  <c r="U72" i="1"/>
  <c r="V72" i="1" s="1"/>
  <c r="U71" i="1"/>
  <c r="V71" i="1" s="1"/>
  <c r="U70" i="1"/>
  <c r="V70" i="1" s="1"/>
  <c r="U69" i="1"/>
  <c r="V69" i="1" s="1"/>
  <c r="U68" i="1"/>
  <c r="V68" i="1" s="1"/>
  <c r="U66" i="1"/>
  <c r="U65" i="1"/>
  <c r="V65" i="1" s="1"/>
  <c r="U64" i="1"/>
  <c r="V64" i="1" s="1"/>
  <c r="U63" i="1"/>
  <c r="V63" i="1" s="1"/>
  <c r="U62" i="1"/>
  <c r="V62" i="1" s="1"/>
  <c r="U61" i="1"/>
  <c r="V61" i="1" s="1"/>
  <c r="U60" i="1"/>
  <c r="V60" i="1" s="1"/>
  <c r="U59" i="1"/>
  <c r="V59" i="1" s="1"/>
  <c r="U58" i="1"/>
  <c r="V58" i="1" s="1"/>
  <c r="U56" i="1"/>
  <c r="V56" i="1" s="1"/>
  <c r="U55" i="1"/>
  <c r="V55" i="1" s="1"/>
  <c r="U54" i="1"/>
  <c r="V54" i="1" s="1"/>
  <c r="U53" i="1"/>
  <c r="V53" i="1" s="1"/>
  <c r="U52" i="1"/>
  <c r="V52" i="1" s="1"/>
  <c r="U51" i="1"/>
  <c r="V51" i="1" s="1"/>
  <c r="U50" i="1"/>
  <c r="V50" i="1" s="1"/>
  <c r="U49" i="1"/>
  <c r="V49" i="1" s="1"/>
  <c r="U44" i="1"/>
  <c r="V44" i="1" s="1"/>
  <c r="U43" i="1"/>
  <c r="V43" i="1" s="1"/>
  <c r="U42" i="1"/>
  <c r="V42" i="1" s="1"/>
  <c r="U38" i="1"/>
  <c r="V38" i="1" s="1"/>
  <c r="U37" i="1"/>
  <c r="V37" i="1" s="1"/>
  <c r="U36" i="1"/>
  <c r="V36" i="1" s="1"/>
  <c r="U34" i="1"/>
  <c r="V34" i="1" s="1"/>
  <c r="U32" i="1"/>
  <c r="V32" i="1" s="1"/>
  <c r="U31" i="1"/>
  <c r="V31" i="1" s="1"/>
  <c r="U30" i="1"/>
  <c r="V30" i="1" s="1"/>
  <c r="U29" i="1"/>
  <c r="V29" i="1" s="1"/>
  <c r="W29" i="1" s="1"/>
  <c r="U22" i="1"/>
  <c r="V22" i="1" s="1"/>
  <c r="U21" i="1"/>
  <c r="V21" i="1" s="1"/>
  <c r="U20" i="1"/>
  <c r="U19" i="1"/>
  <c r="V19" i="1" s="1"/>
  <c r="W19" i="1" s="1"/>
  <c r="U18" i="1"/>
  <c r="V18" i="1" s="1"/>
  <c r="W18" i="1" s="1"/>
  <c r="U17" i="1"/>
  <c r="V17" i="1" s="1"/>
  <c r="W17" i="1" s="1"/>
  <c r="U16" i="1"/>
  <c r="V16" i="1" s="1"/>
  <c r="U15" i="1"/>
  <c r="V15" i="1" s="1"/>
  <c r="W15" i="1" s="1"/>
  <c r="U14" i="1"/>
  <c r="V14" i="1" s="1"/>
  <c r="U13" i="1"/>
  <c r="V13" i="1" s="1"/>
  <c r="W13" i="1" s="1"/>
  <c r="U11" i="1"/>
  <c r="V11" i="1" s="1"/>
  <c r="W11" i="1" s="1"/>
  <c r="U10" i="1"/>
  <c r="V10" i="1" s="1"/>
  <c r="W10" i="1" s="1"/>
  <c r="U9" i="1"/>
  <c r="V9" i="1" s="1"/>
  <c r="W9" i="1" s="1"/>
  <c r="U8" i="1"/>
  <c r="V8" i="1" s="1"/>
  <c r="W8" i="1" s="1"/>
  <c r="U7" i="1"/>
  <c r="V7" i="1" s="1"/>
  <c r="W7" i="1" s="1"/>
  <c r="AD81" i="1" l="1"/>
  <c r="AD80" i="1"/>
  <c r="AD79" i="1"/>
  <c r="AD78" i="1"/>
  <c r="AD77" i="1"/>
  <c r="AD76" i="1"/>
  <c r="AD75" i="1"/>
  <c r="AD74" i="1"/>
  <c r="AD73" i="1"/>
  <c r="AD72" i="1"/>
  <c r="AD71" i="1"/>
  <c r="AD70" i="1"/>
  <c r="AD69" i="1"/>
  <c r="AD68"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38" i="1"/>
  <c r="AD37" i="1"/>
  <c r="AD36" i="1"/>
  <c r="AD34" i="1"/>
  <c r="AD33" i="1"/>
  <c r="AD32" i="1"/>
  <c r="AD31" i="1"/>
  <c r="AD30" i="1"/>
  <c r="AD29" i="1"/>
  <c r="AD22" i="1"/>
  <c r="AD21" i="1"/>
  <c r="AD20" i="1"/>
  <c r="AD19" i="1"/>
  <c r="AD18" i="1"/>
  <c r="AD17" i="1"/>
  <c r="AD16" i="1"/>
  <c r="AD15" i="1"/>
  <c r="AD14" i="1"/>
  <c r="AD13" i="1"/>
  <c r="AD11" i="1"/>
  <c r="AD10" i="1"/>
  <c r="AD9" i="1"/>
  <c r="AD8" i="1"/>
  <c r="AD7" i="1"/>
  <c r="AX21" i="1"/>
  <c r="AT21" i="1"/>
  <c r="AX20" i="1"/>
  <c r="AX69" i="1"/>
  <c r="AX36" i="1"/>
  <c r="AX30" i="1"/>
  <c r="AX6" i="1"/>
  <c r="AE69" i="1" l="1"/>
  <c r="AE73" i="1"/>
  <c r="AE13" i="1"/>
  <c r="AE49" i="1"/>
  <c r="AE30" i="1"/>
  <c r="AE42" i="1"/>
  <c r="AE58" i="1"/>
  <c r="AE51" i="1"/>
  <c r="AE6" i="1"/>
  <c r="AE78" i="1"/>
  <c r="AE20" i="1"/>
  <c r="AE17" i="1"/>
  <c r="I64" i="1"/>
  <c r="I60" i="1"/>
  <c r="AE82" i="1" l="1"/>
  <c r="AW69" i="1"/>
  <c r="AW36" i="1"/>
  <c r="AT36" i="1"/>
  <c r="AW21" i="1"/>
  <c r="AW20" i="1"/>
  <c r="AW6" i="1"/>
  <c r="AW42" i="1"/>
  <c r="AW82" i="1" l="1"/>
  <c r="H64" i="1"/>
  <c r="G64" i="1"/>
  <c r="H60" i="1"/>
  <c r="G69" i="1" l="1"/>
  <c r="AV69" i="1"/>
  <c r="AA20" i="1"/>
  <c r="AV21" i="1"/>
  <c r="AT20" i="1"/>
  <c r="AT82" i="1" s="1"/>
  <c r="G61" i="1"/>
  <c r="G60" i="1" l="1"/>
  <c r="AU69" i="1"/>
  <c r="AU21" i="1"/>
  <c r="F64" i="1"/>
  <c r="F62" i="1"/>
  <c r="F61" i="1"/>
  <c r="F60" i="1"/>
</calcChain>
</file>

<file path=xl/comments1.xml><?xml version="1.0" encoding="utf-8"?>
<comments xmlns="http://schemas.openxmlformats.org/spreadsheetml/2006/main">
  <authors>
    <author>eherazod</author>
  </authors>
  <commentList>
    <comment ref="G20" authorId="0" shapeId="0">
      <text>
        <r>
          <rPr>
            <b/>
            <sz val="9"/>
            <color indexed="81"/>
            <rFont val="Tahoma"/>
            <family val="2"/>
          </rPr>
          <t>De acuerdo a la Policía  en el primer semestre de 2018 se presentaron 128 homicidios, 10 menos que los presentados para el mismo periodo en 2017</t>
        </r>
        <r>
          <rPr>
            <sz val="9"/>
            <color indexed="81"/>
            <rFont val="Tahoma"/>
            <family val="2"/>
          </rPr>
          <t xml:space="preserve">
</t>
        </r>
      </text>
    </comment>
    <comment ref="G42" authorId="0" shapeId="0">
      <text>
        <r>
          <rPr>
            <b/>
            <sz val="9"/>
            <color indexed="81"/>
            <rFont val="Tahoma"/>
            <family val="2"/>
          </rPr>
          <t>según Policia para primer semestre 2018 se reportan 1,003 casos de violencia intrafamiliar, 436  menos que en 2017 cuando se presentaron para este mismo período 1470 casos.</t>
        </r>
        <r>
          <rPr>
            <sz val="9"/>
            <color indexed="81"/>
            <rFont val="Tahoma"/>
            <family val="2"/>
          </rPr>
          <t xml:space="preserve">
</t>
        </r>
      </text>
    </comment>
    <comment ref="G43" authorId="0" shapeId="0">
      <text>
        <r>
          <rPr>
            <b/>
            <sz val="9"/>
            <color indexed="81"/>
            <rFont val="Tahoma"/>
            <family val="2"/>
          </rPr>
          <t>según Policia para primer semestre 2018 se reportan 270 casos de delitos sexuales, 35 menos que en 2017 cuando se presentaron para este mismo periodo 305 casos.</t>
        </r>
        <r>
          <rPr>
            <sz val="9"/>
            <color indexed="81"/>
            <rFont val="Tahoma"/>
            <family val="2"/>
          </rPr>
          <t xml:space="preserve">
</t>
        </r>
      </text>
    </comment>
    <comment ref="G56" authorId="0" shapeId="0">
      <text>
        <r>
          <rPr>
            <b/>
            <sz val="9"/>
            <color indexed="81"/>
            <rFont val="Tahoma"/>
            <family val="2"/>
          </rPr>
          <t>eherazod: A 30 de Junio 2017 se reportan 202 jóvenes atendios en el  SRPA. Para ese mismo periodo en 2018 fueron atendidos en el sistema 42 jovenes, es decir, 160 jovenes menos.</t>
        </r>
        <r>
          <rPr>
            <sz val="9"/>
            <color indexed="81"/>
            <rFont val="Tahoma"/>
            <family val="2"/>
          </rPr>
          <t xml:space="preserve">
</t>
        </r>
      </text>
    </comment>
  </commentList>
</comments>
</file>

<file path=xl/sharedStrings.xml><?xml version="1.0" encoding="utf-8"?>
<sst xmlns="http://schemas.openxmlformats.org/spreadsheetml/2006/main" count="737" uniqueCount="576">
  <si>
    <t>( C ) MONTO</t>
  </si>
  <si>
    <t>( B) FUENTE</t>
  </si>
  <si>
    <t>( A ) RUBRO PRESUPUESTAL</t>
  </si>
  <si>
    <t>( C )VALOR A DICIEMBRE 31 DE 2018</t>
  </si>
  <si>
    <t>(B) VALOR A DIC 2017</t>
  </si>
  <si>
    <t>(A) NOMBRE</t>
  </si>
  <si>
    <t>MATRIZ DE REPORTE DE AVANCES PLAN DE ACCIÓN Y PLAN DE DESARROLLO</t>
  </si>
  <si>
    <t>SUPERAR LA DESIGUALDAD</t>
  </si>
  <si>
    <t>PRIMERO LA GENTE</t>
  </si>
  <si>
    <t>DIVERSIDAD ETNICA</t>
  </si>
  <si>
    <t xml:space="preserve">  FORTALECIMIENTO DE LOSGRUPOS ÉTNICOS EN EL DISTRITO</t>
  </si>
  <si>
    <t>Porcentaje de Aumento de las comunidades Afros e indígenas con planes de etnodesarrollo y planes de Vida Indígenas formulados</t>
  </si>
  <si>
    <t>PROGRAMA OBSERVATORIO DISTRITAL DE DISCRIMINACIÓN</t>
  </si>
  <si>
    <t>Porcentaje de Aumento en el registro de casos de Discriminación Racial en de registro, e Investigación,</t>
  </si>
  <si>
    <t>ADAPTAR EL TERRITORIO PARA LA GENTE</t>
  </si>
  <si>
    <t xml:space="preserve">  DESARROLLO ECONOMICO INCLUYENTE</t>
  </si>
  <si>
    <t>CARTAGENA CIUDAD  PARA INVERTIR</t>
  </si>
  <si>
    <t>EMPLEO, INGRESO, EMPRENDIMIENTO</t>
  </si>
  <si>
    <t>Porcentaje de Apoyo a iniciativas productivas
afro e indígenas</t>
  </si>
  <si>
    <t xml:space="preserve"> CONSTRUIR CIUDADANIA Y FORTALECIMIENTO INSTITUCIONAL</t>
  </si>
  <si>
    <t xml:space="preserve"> SEGURIDAD INTEGRAL</t>
  </si>
  <si>
    <t>CARTAGENA SIN MIEDOS</t>
  </si>
  <si>
    <t xml:space="preserve">BARRIO SEGURO, UNIDAD COMUNERA SEGURA -UNCOS  </t>
  </si>
  <si>
    <t xml:space="preserve">Reducción integral de  la Tasa de Homicidio </t>
  </si>
  <si>
    <t>Reducción  integralmente  de la Tasa de extorsión</t>
  </si>
  <si>
    <t xml:space="preserve">Reducción  integralmente de la tasa de hurtos a
personas </t>
  </si>
  <si>
    <t>Porcetaje de Reducción en el número de
hurtos a residencias</t>
  </si>
  <si>
    <t>FORTALECIMIENTO INSTITUCIONAL DE LA SECRETARÍA DEL
INTERIOR Y CONVIVENCIA CIUDADANA</t>
  </si>
  <si>
    <t>Porcentaje de aumento en los Operativos de control preventivo y sancionatorio realizados pora el cumplimiento de los normas de convivencia y seguridad en la ciudad.</t>
  </si>
  <si>
    <t>Trasladar cárcel
Distrital</t>
  </si>
  <si>
    <t>Porcentaje de Reducción en el tiempo
de respuesta a la zona
industrial de Mamonal en
Cartagena.</t>
  </si>
  <si>
    <t>Porcentaje de incremento en cobertura
acuatica e insular en el Distrito
Cartagena.</t>
  </si>
  <si>
    <t>Porcentaje de incremento  en la
capacidad operativa del
cuerpo de Bomberos en el
Distrito de Cartagena</t>
  </si>
  <si>
    <t>JUSTICIA CERCANA AL CIUDADANO</t>
  </si>
  <si>
    <t>Reducción de  la tasa de Violencia Intrafamiliar</t>
  </si>
  <si>
    <t>Porcentaje de Reducción de los delitos sexuales</t>
  </si>
  <si>
    <t>CARTAGENA POR LA CONVIVENCIA</t>
  </si>
  <si>
    <t>Porcentaje de Aumento en las  personas que considera que en Cartagena se respetan las normas de convivencia ciudadana</t>
  </si>
  <si>
    <t xml:space="preserve">PRIMERO LOS JOVENES 
</t>
  </si>
  <si>
    <t>Porcentaje de Reducción en  el
Número de homicidios
cuyos victimarios son
adolescentes y jóvenes
que pertenecen a
grupos de pandilla.</t>
  </si>
  <si>
    <t>Porcentaje de Reducción en  el
Número de hurtos
perpetrados por
adolescentes y jóvenes
que pertenecen a
grupos de pandilla.</t>
  </si>
  <si>
    <t>Porcentaje de Reducción en  el
Numero de riñas entre
adolescentes y jóvenes
que pertenecen o
grupos de pandilla.</t>
  </si>
  <si>
    <t>Porcentaje de Reducción de las  
pandillas en el distrito de
Cartagena</t>
  </si>
  <si>
    <t>Porcentaje de Reducción en  el
Número de Adolescentes
y Jóvenes de Cartagena
que ingresan al Sistema
de Responsabilidad
Penal para Adolescentes
en las distintas
modalidades</t>
  </si>
  <si>
    <t>CARTAGENA TERRITORIO DE PAZ</t>
  </si>
  <si>
    <t>VÍCTIMAS DEL CONFLICTO ARMADO INTEGRADAS</t>
  </si>
  <si>
    <t>Porcentaje de Reducción en los riesgos de Victimización en la población</t>
  </si>
  <si>
    <t>Porcentaje de Aumento en la cobertura de población víctima atendida en Urgencia en la modalidad de Albergue y externa Con enfoque de género, diferencial y étnico</t>
  </si>
  <si>
    <t>Porcentaje de Aumento en la cobertura de población víctima que ha sido atendido en programas de Generación de ingresos, apoyo al auto sostenimiento, y vinculación laboral con enfoque de  género, diferencial y étnico</t>
  </si>
  <si>
    <t>Porcentaje de Aumento en el acceso de personas víctimas o vivienda urbano</t>
  </si>
  <si>
    <t>Porcenteje de Aumento en la Cobertura en programas de atención Psicosocial y salud mental para Población víctima del
conflicto asentada en el Distrito con enfoque de género, diferencial y étnico</t>
  </si>
  <si>
    <t>Construcción de un Museo de Memoria Histórica en el Distrito de Cartagena como Acción de Memoria Histórica y Medida de Satisfacción a Población Victima en el Distrito.</t>
  </si>
  <si>
    <t>caracterización de la población Victima del Conflicto asentada en el Distrito</t>
  </si>
  <si>
    <t>Promover la creación de la Instancia administrativa de carácter distrital de alto nivel para la articulación del  sistema local de atención integral a Víctimas del conflicto en
Cartagena.</t>
  </si>
  <si>
    <t>FORTALECIMIENTO DEL PROCESO DE REINTEGRACIÓN
SOCIAL EN EL DISTRITO DE CARTAGENA</t>
  </si>
  <si>
    <t>Porcentaje de Vinculación  de las personas en proceso de reintegración asentadas en el Distrito a procesos de reconciliación</t>
  </si>
  <si>
    <t>Porcentaje de vinculación de las personas en proceso de reintegración asentados en el Distrito a iniciativas de generación de ingreso</t>
  </si>
  <si>
    <t>Porcentaje de Aumento de las personas en proceso de reintegración Social que acceden a vivienda de Interés social en el Distrito</t>
  </si>
  <si>
    <t>DERECHOS HUMANOS</t>
  </si>
  <si>
    <t>Pircentaje de Ejecución de  la Política Publica de DDHH</t>
  </si>
  <si>
    <t>Porcentajde de Reducción en  el número de violaciones a los DDHH en el Distrito</t>
  </si>
  <si>
    <t>FORTALECIMIENTO INSTITUCIONAL</t>
  </si>
  <si>
    <t>PARTICIPACION Y FORTALECIMIENTO A LA DESCENTRALIZACION</t>
  </si>
  <si>
    <t>PRESUPUESTO PARTICIPATIVO</t>
  </si>
  <si>
    <t>Porcentaje de Contratación de  los proyectos de presupuesto porticipativo priorizados</t>
  </si>
  <si>
    <t xml:space="preserve">  AFRODESCENDIENTES E INDIGENAS</t>
  </si>
  <si>
    <t>Formular 4 planes de
etnodesarrollo en igual
número de comunidades
Afro y articular los 4
planes de Etnodesarrollo
al plan de Desarrollo
Distrital.</t>
  </si>
  <si>
    <t>Formular plan de vida en
tres (3), comunidades
indígenas asentadas en
el Distrito Y articular los
planes de Etnodesanrollo
al plan de Desarrollo
Distrital.</t>
  </si>
  <si>
    <t>Acompañar
técnicamente el proceso
de titulación colectiva
de 4 consejos
comunitarios Afros.</t>
  </si>
  <si>
    <t>Acompañar a los 25
consejos comunitarios en
la formulación de sus
reglamentos internos</t>
  </si>
  <si>
    <t>Acompañar o los 26
consejos comunitarios en
el proceso de
conformación de
guardas ancestrales</t>
  </si>
  <si>
    <t>Generar capacidades a
15 organizaciones
Afrodescendiente de la
ciudad para la
incidencia política.</t>
  </si>
  <si>
    <t>Reglamentar
mediante
acuerdo y poner
en
funcionamiento el
Observatorio
Antidiscriminación
racial para el
registro de todos
los casos de
discriminación en
la ciudad.</t>
  </si>
  <si>
    <t>Realizar una
investigación
anual sobre las
diferentes formas
de discriminación
racial la ciudad.</t>
  </si>
  <si>
    <t>Realizar una
campaña anual
antidiscriminación
racial en
Cartagena</t>
  </si>
  <si>
    <t>Capacitar a 400
funcionarios en
Enfoque
Diferencial</t>
  </si>
  <si>
    <t xml:space="preserve"> EMPRENDIMIENTO ÉTNICO</t>
  </si>
  <si>
    <t>Creación y
Fortalecimiento de 50
iniciativas de
emprendimiento
Indígenas en el Distrito</t>
  </si>
  <si>
    <t>Creación y
Fortalecimiento de 50
iniciativas de
emprendimiento para
población Afro</t>
  </si>
  <si>
    <t>Caracterizar y atender
1,000 familias
Afrodescendientes a
través de lo estrategia
del PES para superar las
trompas de la pobreza</t>
  </si>
  <si>
    <t>PLAN INTEGRAL DE SEGURIDAD CIUDADANA</t>
  </si>
  <si>
    <t>Formular y ejecutar
un Plan Integral de
seguridad y
Convivencia
ciudadana</t>
  </si>
  <si>
    <t>Realizar 10 consejos
comunales de
seguridad
anualmente en los
barrios con mayores
índices de Violencia</t>
  </si>
  <si>
    <t>FORTALECIMIENTO DE LOS MECANISMOS
COMUNITARIOS DE PREVENCIÓN DEL DELITO</t>
  </si>
  <si>
    <t>Realizar 2 Campañas
de promoción de la
denuncia ciudadana
anualmente</t>
  </si>
  <si>
    <t>Recuperar 30
Entornos Urbanos
deteriorados en los
barrios con mayores
índices de Violencia</t>
  </si>
  <si>
    <t>FORTALECIMIENTO DE LA SECRETARÍA DEL
INTERIOR</t>
  </si>
  <si>
    <t>Realizar 50 operativos
de control a juegos
de azar en el Distrito</t>
  </si>
  <si>
    <t>Realizar 170
Operativos de control
a espectáculos
públicos en el Distrito</t>
  </si>
  <si>
    <t>FORTALECIMIEN
TO CARCELARIO
Y
PENITENCIARIO</t>
  </si>
  <si>
    <t>Trasladar la Cárcel
Distrital de
Cartagena</t>
  </si>
  <si>
    <t>Suscribir Convenio
con el INPEC para la
atención de los
indiciados</t>
  </si>
  <si>
    <t>FORTALECIMIEN
TO CUERPO DE
BOMBEROS</t>
  </si>
  <si>
    <t>Diseñar, construir y
dotar una estación
de Bomberos
terrestre en el Distrito</t>
  </si>
  <si>
    <t>Diseñar, construir y
dotar una estación
de Bomberos
acuática en el
Distrito.</t>
  </si>
  <si>
    <t>Dotar con equipos operativos de rescate, control de incendios e incidentes con materiales peligrosos las 3 estaciones de Bomberos existentes.</t>
  </si>
  <si>
    <t>JUSTICIA CERCANA AL
CIUDADANO</t>
  </si>
  <si>
    <t>Realizar dos campañas
anuales de promoción de
buenas prácticas
ciudadanos en el Distrito.</t>
  </si>
  <si>
    <t>Realizar 60 festivales para
la convivencia en los
barrios priorizodos con
mayor índice de violencia
en el Distrito</t>
  </si>
  <si>
    <t>ATENCION INTEGRAL A LOS Y LAS ADOLESCENTES Y JOVENES EN RIESGO DE VINCULARSE A ACTIVIDADES DELICTIVAS Y EN CONFLICTO CON LA LEY PENAL</t>
  </si>
  <si>
    <t>Atender
Psicosocialmente a 1000
jóvenes vinculados a
Pandillas y sus familias.</t>
  </si>
  <si>
    <t>Identificar y ejecutar 80
Iniciativas juveniles para
promover
emprendimiento</t>
  </si>
  <si>
    <t>Realizar 2 festivales
deportivos por localidad
anualmente.</t>
  </si>
  <si>
    <t>Realizar 2 festivales
artísticos por localidad
anualmente</t>
  </si>
  <si>
    <t>Implementar 2 Mesas de
Dialogo anualmente.</t>
  </si>
  <si>
    <t>FORTALECIMIENT
O DEL SISTEMA
DE
RESPONSABILIDA
D PENAL
ADOLESCENTE</t>
  </si>
  <si>
    <t>Suscribir un convenio con
ASOMENORES
anualmente.</t>
  </si>
  <si>
    <t>ASISTENCIA Y
REPARACIÓN
INTEGRAL A
VICTIMAS DEL
CONFLICTO
ARMADO.</t>
  </si>
  <si>
    <t>Diseñar e
implementar un Plan
Distrital de
Prevención y
protección de
violaciones graves a
los DDHH y DIH</t>
  </si>
  <si>
    <t>Construir un centro
para la atención
integral a las
víctimas del
conflicto asentados
en el Distrito</t>
  </si>
  <si>
    <t>Garantizar atención
inmediata con
enfoque de género,
diferencial y étnico
a 1.261 victimas del
conflicto</t>
  </si>
  <si>
    <t>Garantizar el acceso
de 2156 hogares
Victimas del
conflicto armado a
programas de
Generación de
ingresos y auto
sostenimiento con
enfoque de género,
diferencial y étnico</t>
  </si>
  <si>
    <t>Garantizar el acceso
a vivienda Urbana a
1,488 personas
víctimas del
conflicto</t>
  </si>
  <si>
    <t>Garantizar el acceso
a solución de
mejoramiento de
habitabilidad a 400
víctimas del
conflicto.</t>
  </si>
  <si>
    <t>Garantizar el acceso
a programas de
atención sicosocial y
salud mental para
6,825 víctimas del
conflicto asentada
en el Distrito con
enfoque de género,
diferencial y étnico</t>
  </si>
  <si>
    <t>Construir un Museo
de Memoria
Histórica en el
Distrito de
Cartagena como
Acción de Memoria
Histórica y Medidas
de Satisfacción a
Población Victima
en el Distrito.</t>
  </si>
  <si>
    <t>Garantizar que los
22 miembros de la
mesa Distrital de
Víctimas accedan a
incentivos técnicos y
logísticos para la
participación
efectiva.</t>
  </si>
  <si>
    <t>Realizar una
caracterización con
enfoque de género,
diferencial y étnico
de la totalidad de la
población víctima
del conflicto
asentada en el
Distrito.</t>
  </si>
  <si>
    <t>Promover la
creación de una
instancia
administrativa de
carácter distrital de
alto nivel para la
articulación del
sistema local de
atención integral a
Víctimas del
conflicto en
Cartagena.</t>
  </si>
  <si>
    <t>ACOMPAÑAMIENTO
A LA POBLACIÓN EN
PROCESO DE
REINTEGRACION
SOCIAL PARA
GARANTIZAR SU
ACCESO A LA
OFERTA DE
SERVICIOS DEL
ESTADO</t>
  </si>
  <si>
    <t>Implementar 6 mesas
de diálogos y
reconciliación con la
población en proceso
de reintegración social
y los comunidades
receptoras.</t>
  </si>
  <si>
    <t>Formar a  317 personas
en proceso de
reintegración social
como gestores de Paz
poro el desarrollo de
uno cultura de paz.</t>
  </si>
  <si>
    <t>Vincular a 226 personas
en procesos de
reintegración social a
iniciativas de
generación de
ingresos.</t>
  </si>
  <si>
    <t>Garantizar que 45
personas en proceso
de reintegración accedan a VIS en el
Distrito</t>
  </si>
  <si>
    <t>Construir
colectivamente un
documento de
Política Pública de
DDHH y sus
instrumentos de
seguimiento y
evaluación</t>
  </si>
  <si>
    <t>Realizar 12 Jornadas
de sensibilización en
DDHH en los lE del
Distrito, servidores
públicos, entidades
privadas y
comunidad en
General.</t>
  </si>
  <si>
    <t>Realizar 4 Jornadas
de Prevención y
atención en ESCNNA
en las lE del Distrito,
servidores públicos,
entidades privadas y
comunidad en Gral.</t>
  </si>
  <si>
    <t>Realizar 12 Jornadas
de Prevención y
atención en Trata de
Personas en las lE del
Distrito, servidores
públicos, entidades
privadas y
comunidad en Gral.</t>
  </si>
  <si>
    <t>Modificar el acuerdo
014 de 2008 que
reglamenta el
Comité DDHH para
reorganizario y
ampliar su
denominación a
comité de DDHH, Paz
y Post Conflicto</t>
  </si>
  <si>
    <t>FORTALECIMIENTO
DEL SISTEMA
DISTRITAL DE
PLANEACIÓN Y
DESCENTRALIZACIÓN</t>
  </si>
  <si>
    <t>Realizar un   nuevo
ejercicio de
priorización de
Presupuesto
Participotivo en el
Distrito</t>
  </si>
  <si>
    <t>Formular e inscribir
ante el Banco de
Proyectos la totalidad
de los nuevos
proyectos priorizados
por la comunidad</t>
  </si>
  <si>
    <t>Priorizar los nuevos
proyectos
concertados por la
comunidad</t>
  </si>
  <si>
    <t>Priorizar los 91
proyectos
concretados en 2007
y 2009</t>
  </si>
  <si>
    <t>Realizar 120 jornadas de
"Justicia a los barrios" pora
acercar los servicios de
justicia a la ciudadanía.</t>
  </si>
  <si>
    <t>Ampliar la red de Conciliadores en el Distrito con la formación de 40
nuevos Conciliadores en
equidad.</t>
  </si>
  <si>
    <t>Realizar una (1) actualización Normativa anual a todos los conciliadores en equidad activos en el Distrito.</t>
  </si>
  <si>
    <t>RECONOCIMIENTO DE LOS GRUPOS ÉTNICOS EN EL CONTEXTO DE LOS DERECHOS CON ENFOQUE DIFENRENCIAL EN EL DISTRITO DE CARTAGENA.</t>
  </si>
  <si>
    <t xml:space="preserve">Formular  2 planes de
etnodesarrollo </t>
  </si>
  <si>
    <t>Formular  1 plan de
Vida  Indigena</t>
  </si>
  <si>
    <t>Acompañar  a los consejos comunitarios en las solicitudes de Titulación Colectiva ante la agencia nacional de tierras</t>
  </si>
  <si>
    <t>Acompañar a 11
consejos comunitarios en
la formulación de sus
reglamentos internos</t>
  </si>
  <si>
    <t>Acompañar a 9
consejos comunitarios en
el proceso de
conformación de
guardas ancestrales</t>
  </si>
  <si>
    <t>Generar capacidades a 
5 organizaciones
Afrodescendiente de la
ciudad para la
incidencia política.</t>
  </si>
  <si>
    <t xml:space="preserve">Reglamentar
mediante
acuerdo y poner
en
funcionamiento el Observatorio Distrital Anti-Discrimicaión racial en Cartagegena </t>
  </si>
  <si>
    <t>Realizar tres
investigaciones sobre las
diferentes formas
de discriminación
racial en  la ciudad.</t>
  </si>
  <si>
    <t>Realizar tres
campaña 
antidiscriminación
racial en
Cartagena</t>
  </si>
  <si>
    <t>Capacitar 227 
funcionarios en
Enfoque
Diferencial</t>
  </si>
  <si>
    <t>Creación y
Fortalecimiento de 16
iniciativas de
emprendimiento
Indígenas en el Distrito</t>
  </si>
  <si>
    <t>Creación y
Fortalecimiento de 15
iniciativas de
emprendimiento para
población Afro</t>
  </si>
  <si>
    <t>Caracterizar y atender
666 familias
Afrodescendientes a
través de lo estrategia
del PES para superar las
trampas de la pobreza</t>
  </si>
  <si>
    <t>Fortalecimiento de los mecanismos comunitarios de prevención y reacción a situaciones de riesgo por conductas delictivas en el distrito de Cartagena de Indias.</t>
  </si>
  <si>
    <t>Ejecutar  Plan Integral de Seguridad y Convivencia Ciudadana</t>
  </si>
  <si>
    <t>Realizar 13  consejos
comunales de
seguridad
 en los
barrios con mayores
índices de Violencia</t>
  </si>
  <si>
    <t xml:space="preserve">Realizar 2 Compañas
de promoción de la
denuncia ciudadana
</t>
  </si>
  <si>
    <t>Recuperar  8
Entornos Urbanos
deteriorados en los
barrios con mayores
índices de Violencia</t>
  </si>
  <si>
    <t>FORTALECIMIENTO INSTITUCIONAL DE LA SECRETARÍA DEL INTERIOR Y CONVIVENCIA CIUDADANA PARA LA GESTIÒN DE LOS TEMAS DE SEGURIDAD Y CONVIVENCIA EN CARTAGENA</t>
  </si>
  <si>
    <t>Realizar 13 operativos
de control a juegos
de azar en el Distrito</t>
  </si>
  <si>
    <t>Realizar 43
Operativos de control
a espectáculos
públicos en el Distrito</t>
  </si>
  <si>
    <t xml:space="preserve">FORTALECIMIENTO Y ATENCIÓN INTEGRAL A INTERNOS DE LOS ESTABLECIMIENTOS CARCELARIOS DE CARTAGENA </t>
  </si>
  <si>
    <t>Trasladar a inmueble temporal  la  Carcel Distrital de Cartagena</t>
  </si>
  <si>
    <t>Garantizar la seguridad y atención juridica y  psicosocial a las internas de la carcel Distrital</t>
  </si>
  <si>
    <t>Suscribir convenio interadministrativo con dirección general del INPEC para recibo y atención de población masculina con medidas de aseguramiento.</t>
  </si>
  <si>
    <t>FORTALECIMIENTO CUERPO DE BOMBEROS DEL DISTRITO DE CARTAGENA.</t>
  </si>
  <si>
    <t>Construir   1 nueva estación bomberil terrestre.</t>
  </si>
  <si>
    <t>Construir   1 nueva estación bomberil acuatica.</t>
  </si>
  <si>
    <t>Adquisición de equipos  operativos de rescate, control de incendios e incidentes con materiales peligrosos a  las 3 estaciones de Bomberos existentes.</t>
  </si>
  <si>
    <t>Fortalecimiento del Sistema Distrital de Acceso a la Justicia Cercano al Ciudadano: Casas de Justicia, Inspecciones, Comisarias de Familia y Conciliadores en equidad del Distrito de Cartagena de Indias.</t>
  </si>
  <si>
    <t>formación de 15
nuevos
Conciliadores en
equidad para su reactivación.</t>
  </si>
  <si>
    <t>Cartagena por la convivencia</t>
  </si>
  <si>
    <t>Realizar tres  campañas
 de promoción de
buenas prácticas
ciudadanos en el Distrito.</t>
  </si>
  <si>
    <t>Realizar 18 festivales para la convivencia en los barrios priorizodos con mayor índice de violencia
en el Distrito</t>
  </si>
  <si>
    <t>Atención Integral de Niños, Niñas, Adolescentes y jóvenes  vinculados a actividades delictivas  y en conflicto con la ley penal de la ciudad de Cartagena</t>
  </si>
  <si>
    <t xml:space="preserve">Atender Psicosocialmente  a
250 jóvenes
vinculados a
pandillas y sus familias.
</t>
  </si>
  <si>
    <t>Identificar y ejecutar 12 
Iniciativas juveniles para
promover
emprendimiento</t>
  </si>
  <si>
    <t xml:space="preserve">Realizar 14  festivales
deportivos </t>
  </si>
  <si>
    <t xml:space="preserve">Realizar 10  festivales
artísticos </t>
  </si>
  <si>
    <t xml:space="preserve">Implementar 4 Mesas de
Diálogo </t>
  </si>
  <si>
    <t>Atender la totalidad  de las y  los Adolescentes y  jóvenes en conflicto con la ley penal del Distrito de  Cartagena en restablecimiento de Derechos  recluidos en  ASOMENORES</t>
  </si>
  <si>
    <t>Atender la totalidad de las Niñas,  Niños y dolescentes Infractores de la Ley en Restablecimiento de derechos, en el Centro Transitorio de Cartagena.</t>
  </si>
  <si>
    <t>Atención y Reparación Integral a Víctimas del conflicto armado en el Distrito de Cartagena</t>
  </si>
  <si>
    <t>Diseñar un Plan
Distrital de
Prevención y
protección de
violaciones graves a
los DDHH y DIH</t>
  </si>
  <si>
    <t>Presentar proyecto de Construcción de un centro
para la atención
integral a las
víctimas del
conflicto asentados
en el Distrito ante la Unidad Nacional de Victimas</t>
  </si>
  <si>
    <t>Garantizar atención
inmediata con
enfoque de género,
diferencial y étnico
a 392  victimas del
conflicto</t>
  </si>
  <si>
    <t>Garantizar el acceso
de 830 hogares
Victimas del
conflicto armado a
programas de
Generación de
ingresos y auto
sostenimiento con
enfoque de género,
diferencial y étnico</t>
  </si>
  <si>
    <t>Garantizar el acceso
a vivienda Urbana a
367  personas
víctimas del
conflicto</t>
  </si>
  <si>
    <t>Garantizar el acceso
a solución de
mejoramiento de
habitabilidad a 267
víctimas del
conflicto.</t>
  </si>
  <si>
    <t>Garantizar el acceso
a programas de
atención sicosocial y
salud mental para
2452   víctimas del
conflicto asentada
en el Distrito con
enfoque de género,
diferencial y étnico</t>
  </si>
  <si>
    <t>Construir  proyecto de construcción del Mueseo  de Memoria Histórica y  Medidas
de Satisfacción a
Población Victima
en el Distrito.</t>
  </si>
  <si>
    <t>Meta cumplida en 2017</t>
  </si>
  <si>
    <t>Definir proyecto de creación de la instancia
administrativa  de
carácter distrital de
alto nivel para la
articulación del
sistema local de
atención integral a
Víctimas del
conflicto en
Cartagena.</t>
  </si>
  <si>
    <t xml:space="preserve">FORTALECIMIENTO DEL PROCESO DE REINTEGRACIÓN SOCIAL EN EL DISTRITO DE CARTAGENA  </t>
  </si>
  <si>
    <t>Implementar 2 mesas
de diálogos y
reconciliación con la
población en proceso
de reintegración social
y los comunidades
receptoras.</t>
  </si>
  <si>
    <t>Formar a  106 personas
en proceso de
reintegración social
como gestores de Paz
paro el desarrollo de
uno cultura de paz.</t>
  </si>
  <si>
    <t>Vincular a 47 personas
en procesos de
reintegración social a
iniciativas de
generación de
ingresos.</t>
  </si>
  <si>
    <t>Garantizar que 30
personas en proceso
de reintegración accedan a VIS en el
Distrito</t>
  </si>
  <si>
    <t xml:space="preserve">  PROMOCIÓN  Y PROTECCION DE LOS DERECHOS HUMANOS EN EL DISTRITO DE CARTAGENA.  </t>
  </si>
  <si>
    <t>Ejecutar Política Pública de DDHH</t>
  </si>
  <si>
    <t>Realizar 2 Jornadas
de sensibilización en
DDHH en los lE del
Distrito, servidores
públicos, entidades
privadas y
comunidad en
General.</t>
  </si>
  <si>
    <t>Realizar 1 Jornada
de Prevención y
atención en ESCNNA
en las lE del Distrito,
servidores públicos,
entidades privadas y
comunidad en Gral.</t>
  </si>
  <si>
    <t>Realizar 4 Jornadas
de Prevención y
atención en Trata de
Personas en las lE del
Distrito, servidores
públicos, entidades
privadas y
comunidad en Gral.</t>
  </si>
  <si>
    <t>Proyectos presupuesto Participativo</t>
  </si>
  <si>
    <t>Contratar la totalidad de los proyectos priorizados por la comunidad  e inscritos ante el Banco de programas y proyectos</t>
  </si>
  <si>
    <t>Actualizar y Ejecutar  53 proyectos priorizados en vigencias anteriores (2007-2009)</t>
  </si>
  <si>
    <t>Realizar 35 jornadas de
"Justicia a los barrios" para  acercar los
servicios de justicia a la
ciudadanía.</t>
  </si>
  <si>
    <t>Realizar una (1) actualización Normativa 
a todos los conciliadores en equidad activos
en el Distrito.</t>
  </si>
  <si>
    <t>Comunidad Afro con plan de Etnodesarrollo formaludo</t>
  </si>
  <si>
    <t>Comunidad Indigena con plan de vida formulado</t>
  </si>
  <si>
    <t xml:space="preserve">
Consejos comunitarios  con solicitudes de Titulación Colectiva radicadas  ante la agencia nacional de tierras</t>
  </si>
  <si>
    <t>Consejos comunitarios
con reglamentos
internos tormulados</t>
  </si>
  <si>
    <t>Comunidades Afros
con guardia ancestral
conformada.</t>
  </si>
  <si>
    <t>Organizaciones
Afrodescendiente
Fortalecidas</t>
  </si>
  <si>
    <t>ODAR Reglamentado mediante acuerdo y en funcionamiento</t>
  </si>
  <si>
    <t xml:space="preserve">
 0,33 (ODAR reglamentado y en Funcionamiento)</t>
  </si>
  <si>
    <t>investigaciones sobre las
diferentes formas
de discriminación realizadas por el
ODAR.</t>
  </si>
  <si>
    <t>campaña 
antidiscriminación
racial realizadas por el
ODAR.</t>
  </si>
  <si>
    <t>Funcionarios
capacitados en
Enfoque
diferencial</t>
  </si>
  <si>
    <t>iniciativas de
emprendimiento de
Población Afro creadas y fortalecidas</t>
  </si>
  <si>
    <t>Familias
Afrodescendientes
caracterizadas y
atendidas.</t>
  </si>
  <si>
    <t>PISCC en ejecución (0,25%)</t>
  </si>
  <si>
    <t xml:space="preserve"> 0,25  (PISCC en ejecución)</t>
  </si>
  <si>
    <t>Consejos
Comunales de
Seguridad
realizados</t>
  </si>
  <si>
    <t xml:space="preserve">Campañas de
promoción de la
denuncia
ciudadana
realizadas
</t>
  </si>
  <si>
    <t>Barrios priorizados
con entornos
urbanos
recuperados para
la convivencia.</t>
  </si>
  <si>
    <t>operativos realizados de control y seguimiento  a  juegos de azar.</t>
  </si>
  <si>
    <t>Operativos de
control a espectáculos
públicos realizados
en el Distrito</t>
  </si>
  <si>
    <t>Carcel distrital funcionando en Inmueble tempotal que cumpla con espeficidades técnicas requeridas</t>
  </si>
  <si>
    <t xml:space="preserve">
 0,33 ( carcel trasladada a inmueble temporal)</t>
  </si>
  <si>
    <t>Personal de seguridad, juridico y psico-social contratado</t>
  </si>
  <si>
    <t>convenio suscrito con INPEC</t>
  </si>
  <si>
    <t xml:space="preserve"> nueva  estacion bomberil  terrestre construida</t>
  </si>
  <si>
    <t xml:space="preserve">
0,25  (avance en construcción)</t>
  </si>
  <si>
    <t xml:space="preserve"> estación de
Bomberos acuática construida</t>
  </si>
  <si>
    <t xml:space="preserve"> estaciones de Bomberos existentes dotadas </t>
  </si>
  <si>
    <t xml:space="preserve"> conciliadores actualizados</t>
  </si>
  <si>
    <t>Nuevos
Conciliadores
formados.</t>
  </si>
  <si>
    <t>15 reactivados</t>
  </si>
  <si>
    <t>Casas de Justicia Moviles realizadas</t>
  </si>
  <si>
    <t xml:space="preserve"> jovenes y sus familias atendidos 
Psicosocialmente </t>
  </si>
  <si>
    <t xml:space="preserve">
Iniciativas juveniles para emprendimiento  promovidas.</t>
  </si>
  <si>
    <t xml:space="preserve">Festivales
deportivos
juveniles  realizados </t>
  </si>
  <si>
    <t>Festivales
artísticos juveniles
realizados</t>
  </si>
  <si>
    <t>Mesas de Dialogo
Realizadas con
grupos de
pandillas</t>
  </si>
  <si>
    <t>Jovenes atendidos por ASOMENORES</t>
  </si>
  <si>
    <t>Niñas, Niños y Adolescentes Atendidos por el Centro Transitorio</t>
  </si>
  <si>
    <t xml:space="preserve">
0,5 ( proyecto aprobado por la Unidda Nacional)</t>
  </si>
  <si>
    <t xml:space="preserve"> poblacion victima atendida </t>
  </si>
  <si>
    <t>hogares victimas del conflicto beneficiarios  de Iniciativas de Generacion de ingresos</t>
  </si>
  <si>
    <t xml:space="preserve"> hogares victimas del conflicto que acceden a vivienda propia</t>
  </si>
  <si>
    <t xml:space="preserve"> hogares victimas del conflicto que acceden a soluciones de habitabilidad</t>
  </si>
  <si>
    <t>Personas víctimas
del conflicto que
accede a
programas de
atención sicosocial y
salud mental</t>
  </si>
  <si>
    <t>Documeno técnico de viabilidad técnica y finaciera del Museo</t>
  </si>
  <si>
    <t>Estudio técnico de viabilidad administrativa y financiera de la propuesta</t>
  </si>
  <si>
    <t>Mesas de Diálogo y
reconciliación
Realizados</t>
  </si>
  <si>
    <t>Personas en proceso
de reintegración
social como gestores
de Paz.</t>
  </si>
  <si>
    <t>Política Pública en ejecución</t>
  </si>
  <si>
    <t xml:space="preserve">Una política Pública
de DDHH Formulada </t>
  </si>
  <si>
    <t xml:space="preserve">
0,33 (  PP en ejecución)</t>
  </si>
  <si>
    <t>Jornadas de
Promoción,
Prevención y
atención en DDHH realizadas</t>
  </si>
  <si>
    <t>Jornadas de
Promoción,
Prevención y
atención en ESCNNA  realizadas</t>
  </si>
  <si>
    <t>Jornadas de
Promoción,
Prevención y
atención en Trata de
personas realizadas</t>
  </si>
  <si>
    <t>un acuerdo
(014 de 2008) modificado</t>
  </si>
  <si>
    <t>todo los proyectos priorizados inscritos ante  banco de proyectos</t>
  </si>
  <si>
    <t xml:space="preserve">  según numero de proyectos  priorizados por la comunidad</t>
  </si>
  <si>
    <t>Numero de proyectos contratados</t>
  </si>
  <si>
    <t>Proyectos actualizados y contratos</t>
  </si>
  <si>
    <t>Compañas de promoción de
buenas prácticas ciudadanas
realizados</t>
  </si>
  <si>
    <t>Festivales para convivencia
realizados.</t>
  </si>
  <si>
    <t>Un Plan Distrital de
Prevención y protección de
violaciones graves a
los DDHH y DIH</t>
  </si>
  <si>
    <t>Proyecto de construcción del centro  para la atención integral a
las víctimas del conflicto asentadas
en el Distrito aprobado por la Unidad Nacional  de Victimas</t>
  </si>
  <si>
    <t>Representantes de la población victima que reciben
incentivos técnicos y logísticos para
participar en espacios de
participación</t>
  </si>
  <si>
    <t>Población desmovilizada que
accede a iniciativas productivas de
generación de ingreso</t>
  </si>
  <si>
    <t>Población desmovilizada que
accede a viviendas de ínteres social</t>
  </si>
  <si>
    <t>priorizacion de Presupuesto
Participotivo realizada</t>
  </si>
  <si>
    <t>Enero a Diciembre</t>
  </si>
  <si>
    <t>Joel Barrios 
COMANDANTE CUERPO DE BOMBEROS</t>
  </si>
  <si>
    <t>Fortalecimiento afro
Fortalecimiento Indigena</t>
  </si>
  <si>
    <t>ICLD</t>
  </si>
  <si>
    <t>Observatorio Distrital de Discriminación</t>
  </si>
  <si>
    <t>Emprendimiento Etnico Afro e Indigena</t>
  </si>
  <si>
    <t xml:space="preserve">ICLD
</t>
  </si>
  <si>
    <t>Fondo territorial de seguridad y convivencia ciudadana -FONSET</t>
  </si>
  <si>
    <t>Impuestos Obras Viales</t>
  </si>
  <si>
    <t>Fortalecimiento de los mecanismos comunitarios  de prevención del delito</t>
  </si>
  <si>
    <t>ICLD
redimientos financieros ICLD</t>
  </si>
  <si>
    <t>Fortalecimiento de la secretaría del Interior</t>
  </si>
  <si>
    <t>ICLD
otros rendimientos financieros</t>
  </si>
  <si>
    <t>Traslado Carcel San Diego</t>
  </si>
  <si>
    <t xml:space="preserve">
Fortalecimiento Carcelario y Penitenciario</t>
  </si>
  <si>
    <t>Convenio INPEC</t>
  </si>
  <si>
    <t>Fortalecimiento cuerpo de Bomberos</t>
  </si>
  <si>
    <t>Rendimientos Financieros Sobretasa Bomberil</t>
  </si>
  <si>
    <t>SGP -PG
ICLD</t>
  </si>
  <si>
    <t xml:space="preserve">Primero los Jóvenes </t>
  </si>
  <si>
    <t>Fortalecimiento del sistema de responsabilidad penal Adolescente</t>
  </si>
  <si>
    <t>Asistencia y reparación integral a victimas del conflicto armado</t>
  </si>
  <si>
    <t>Reintegración Social</t>
  </si>
  <si>
    <t>ICLD
Rendimientos financieros ICLD</t>
  </si>
  <si>
    <t>Derechos Humanos</t>
  </si>
  <si>
    <t>Proyectos Presupuesto Participativo</t>
  </si>
  <si>
    <t>Plan formulado para el periodo 2016-2019 y en ejecución</t>
  </si>
  <si>
    <t>15 conciliadores reactivados</t>
  </si>
  <si>
    <t>22 miembros de la mesa de victimas beneficiados</t>
  </si>
  <si>
    <t>1 documento de política pública construido</t>
  </si>
  <si>
    <t>Plan integral en ejecución</t>
  </si>
  <si>
    <t>Modernización Inspecciones de Policía, Comisarias de familia, Casas de Justicia y otras sedes del Distrito.
Fortalecimiento de Inspecciones de Policía, Comisarias de familia, Casas de Justicia y otras sedes del Distrito.</t>
  </si>
  <si>
    <t>ICLD
Rendimientos financieros ICLD
SGP -PG
Otros rendimientos financieros
Rendimientos financieros otros dividendos</t>
  </si>
  <si>
    <t>iniciativas de
emprendimiento
Indígenas en el
Distrito creadas y fortalecidas</t>
  </si>
  <si>
    <t>SE SOLICITARON 7 SDP PARA LA CONTRATACIÓN DE AUTOMOVILES, CAMIONETAS, VEHICULO Y UNA UNIDAD MOVIL MIGRATORIA.
ADEMÁS DEL CD PARA  LAS OBRAS DE ADECUACIÓN DEL TERRENO DONDE SE CONSTRUIRÁ LA NUEVA ESTACIÓN DE POLICIA DEL POZÓN.
ESTOS PROCESOS CONTRACTUALES SE ENCUENTRAN EN TRAMITE.</t>
  </si>
  <si>
    <t xml:space="preserve">7 CONSEJOS REALIZADOS EN: CASA COMUNAL CESAR FLOREZ (13 DE FEB); CASA DE LA CULTURA BOQUILLA (14 DE FEB.);  CANCHA DEPORTIVA WIO DEL BARRIO SAN FRANCISCO ( 22 DE FEB); BOSTON (1 DE MARZO); ALCALDIA LOCAL SANTA RITA (15 DE  MARZO); BARRIO JUAN PABLO (20 DE MARZO); SAN ISIDRO (20 MARZO); </t>
  </si>
  <si>
    <t>SE REALIZAN EN EL MARCO DE LOS CONSEJOS COMUNALES DE SEGURIDAD, DONDE SE INFORMA A LA CIUDADANIA DEL SISTEMA NACIONAL DE DENUNCIA VIRTUAL (ADENUNCIAR) Y LOS DOS PUNTOS DE DENUNCIA HABILITADOS EN LA LOCALIDAD DOS Y LA LOCALIDAD TRES.</t>
  </si>
  <si>
    <t>SE ENCUENTRA EN ETAPA DE IDENTIFICACIÓN DE LOS ENTORNOS URBANOS A RECUPERAR EN LOS 10 BARRIOS MAS AFECTADOS POR EL DELITO DE HOMICIDIO (SAN FRANCISCO, LA ESPERANZA,LA CANDELARIA, BOSTON, OLAYA SECTORES RAFAEL NUÑEZ, RICAURTE Y CENTRAL, FREDONIA, NUEVO PARAISO Y EL PAOZÓN)</t>
  </si>
  <si>
    <t>PROGRAMADA PARA  EL MES DE JUNIO</t>
  </si>
  <si>
    <t>Campañas realizadas en:
Centro de vida Olaya Herrera el 27 de Febrero.
Centro de vida Santa Rita el 15 de Marzo.</t>
  </si>
  <si>
    <t>Realizados en: Boquilla, IE Ana Maria Velez, San Francisco, IE  San Felipe Nery, IE Nuevo Bosque sede Jose Maria Cordoba, Santa Rita, Portales de la Cordialidad, IE Rodeo en Olaya sector Puntilla, Vista hermosa y  Olaya IE San Felipe Nery.</t>
  </si>
  <si>
    <t>Se realiza el primer festival deportivo en Fredonia el 27 de Marzo en articulación con Escuela de Gobierno, Ider, PoNal y la gestora social del Distrito.</t>
  </si>
  <si>
    <t>Se articulan acciones con el FICCI para realizar el primer festival artístico en el mes de Abril</t>
  </si>
  <si>
    <t xml:space="preserve"> (D) MONTO EJECUTADO 31 DE MARZO</t>
  </si>
  <si>
    <t>Se estan haciendo acercamientos con los grupos: pueblito, los danubios y los pacos en el barrio Boston.</t>
  </si>
  <si>
    <t>El plan formulado fue validado en las tres localidades. Será sometido a  aprobación en comité de justicia transicional el próximo 12 de abril.</t>
  </si>
  <si>
    <t>Por devolución de de diseños técnicos y arquitectónicos por parte de la Unidad Nacional no fue viable la cofinanciación para el proyecto de construcción del CRAV. Por tanto esta meta no se cumplirá</t>
  </si>
  <si>
    <t>Esta atención se hizo a traves de la activación de redes locales de apoyo, pues a la fecha no se ha contratdo el albergue de atención humanitaria.</t>
  </si>
  <si>
    <t>Se está articulando atención con la estregia Mi Negocio Etnico de Prosperidad Social. En etapa de verificación del numero de hogares victimas beneficiados.</t>
  </si>
  <si>
    <t>Corvivienda entregó 78 viviendas a victimas del conflicto en el proyecto Flor de la Esperanza</t>
  </si>
  <si>
    <t>Articulando acciones con Corvivienda.</t>
  </si>
  <si>
    <t>Atención desarrollada por el equipo Psicosocial del punto de atenicón a victimas y la articulación con DADIS y Secretraría de Participación y Desarrollo Social.</t>
  </si>
  <si>
    <t>Se estan articulando acciones con el Centro Nacional de Memoria Histórica.</t>
  </si>
  <si>
    <t>En etapa pre-contractual.</t>
  </si>
  <si>
    <t>En espera que la Personeria Distrital escoja los miembros faltantes del Comité Distrital de DDHH para poner a consideración de dicho comité la PP formulada en 2017</t>
  </si>
  <si>
    <t>Realizados en: Portales de la Cordialidad el 20 de Marzo y en la SICC el 31 de Enero.</t>
  </si>
  <si>
    <t>Realizados en: Boquilla el 14 de Febrero y en Villa Gloria el 3 de Marzo.</t>
  </si>
  <si>
    <t>Convenio con ASOMENORES  se suscribirá una vez se levante  ley de garantias.</t>
  </si>
  <si>
    <t>Proceso contractual  MC-SIC-01-2018 con RP del 13 de marzo</t>
  </si>
  <si>
    <t xml:space="preserve">Proceso contractual  MC-SIC-02-2018 con RP del 13 de marzo. </t>
  </si>
  <si>
    <t>367 casos de violencia intrafamiliar reportados.
Fuente: Policía</t>
  </si>
  <si>
    <t>191 casos de hurtos a residencias denunciados en el primer trimestre 2018
Fuente: Policía</t>
  </si>
  <si>
    <t>1083 casos de hurtos denunciados en el primer trimestre 2018
Fuente: Policía</t>
  </si>
  <si>
    <t>53 homicios en el primer trimestre 2018
Fuente: Policía</t>
  </si>
  <si>
    <t>información No disponible.</t>
  </si>
  <si>
    <t>6 homicidios
Fuente: Policia</t>
  </si>
  <si>
    <t>6
Fuente: Policia</t>
  </si>
  <si>
    <t>142
casos de  delitos sexuales reportados.
Fuente: Policía</t>
  </si>
  <si>
    <t>13 casos de extorsión en el primer trimestre 2018
Fuente: Policía</t>
  </si>
  <si>
    <t>Estan en la Unidad ejecutora 01</t>
  </si>
  <si>
    <r>
      <t>Las gestiones para el traslado a inmueble ubicado en</t>
    </r>
    <r>
      <rPr>
        <sz val="10"/>
        <color rgb="FF000000"/>
        <rFont val="Arial Narrow"/>
        <family val="2"/>
      </rPr>
      <t xml:space="preserve"> km 5 de la vía Mamonal, en el sector de Arroz Barato, se descartaron por oposición de las JAC de los barrios del area de influencia.
Ante esta situación, se informa al ministerio del Interior y de justicia y se identifican cuatro (4) nuevos terrenos, a los cuales se les realizará las respectivas visitas y solicitud de viabilidad.</t>
    </r>
  </si>
  <si>
    <r>
      <rPr>
        <b/>
        <sz val="10"/>
        <rFont val="Arial Narrow"/>
        <family val="2"/>
      </rPr>
      <t>a)</t>
    </r>
    <r>
      <rPr>
        <sz val="10"/>
        <rFont val="Arial Narrow"/>
        <family val="2"/>
      </rPr>
      <t xml:space="preserve"> Fortalecimiento del control y verificación migratoria terrestre, marítima y aérea de la ciudad de Cartagena.
</t>
    </r>
    <r>
      <rPr>
        <b/>
        <sz val="10"/>
        <rFont val="Arial Narrow"/>
        <family val="2"/>
      </rPr>
      <t>b)</t>
    </r>
    <r>
      <rPr>
        <sz val="10"/>
        <rFont val="Arial Narrow"/>
        <family val="2"/>
      </rPr>
      <t xml:space="preserve"> Fortalecimiento del modelo nacional de vigilancia comunitaria por cuadrantes (MNVCC) de la Policía Nacional en el Distrito de Cartagena.
</t>
    </r>
    <r>
      <rPr>
        <b/>
        <sz val="10"/>
        <rFont val="Arial Narrow"/>
        <family val="2"/>
      </rPr>
      <t>c)</t>
    </r>
    <r>
      <rPr>
        <sz val="10"/>
        <rFont val="Arial Narrow"/>
        <family val="2"/>
      </rPr>
      <t xml:space="preserve"> Fortalecimiento de la capacidad de investigación criminal del cuerpo técnico de investigación (CTI) en Cartagena.
</t>
    </r>
    <r>
      <rPr>
        <b/>
        <sz val="10"/>
        <rFont val="Arial Narrow"/>
        <family val="2"/>
      </rPr>
      <t>d)</t>
    </r>
    <r>
      <rPr>
        <sz val="10"/>
        <rFont val="Arial Narrow"/>
        <family val="2"/>
      </rPr>
      <t xml:space="preserve"> Fortalecimiento de la capacidad  logística y operacional en tierra y mar de la Armada Nacional- Cartagena
</t>
    </r>
  </si>
  <si>
    <t>Se tiene relación entregada por la ANT donde consta el estado de la titulación de 14 Consejos Comunitarios. Igualmente, se elevó solicitud formal a la Agencia mendiante Oficio  AMC-OFI-0021285-2018.</t>
  </si>
  <si>
    <t>Se definieron las  dos  comunidades con las que se realizará los planes de etnodesarrollo: 1.Leticia 2. Islas del Rosario Caserio Orika. Se han sostenido 2 reuniones con el Consejos Comunitario de Leticia y una reunión con la FIR para tal propósito.  En espera de operador.</t>
  </si>
  <si>
    <t>Se definieron las  dos  comunidades con las que se realizará los planes de vida:
1. ZHANU ZHANDERO EN BAYUNCA
2. CABILDO INDIGENA KANKUAMO
En espera de operador.</t>
  </si>
  <si>
    <t>Se identificaron posibles  organizaciones urbanas a fortalecer:  
1. ROSA CARIBE
2.PELO BUENO
3. MOV.AFRO DE LA U DE C
4. REVISTA GAFRO
5. RISOS CARTAGENA
ADEMAS DE 5 JAC DE LA CIUDAD.</t>
  </si>
  <si>
    <t>Se sostuvo una reunión con la Fundación Islas del Rosario para la constitución de la Guardia Ancestral de Islas del Rosario. Se está a la espera del operador para la constitucion de las guardías faltantes.</t>
  </si>
  <si>
    <t>En espera de operador.</t>
  </si>
  <si>
    <t>SE TIENE PRVISTO REALIZAR LA PRIMERA CAMPAÑA EN EL MARCO DE LA SEMANA AFRO ( 21 A 25 DE  MAYO)
En espera de operador.</t>
  </si>
  <si>
    <t>Se está articulando con el ministerio del Interior, para lo cual se realizó visita al Ministerio del Interior el día 16 de marzo de 2018, para concertar. Queda el compromiso de envíar el Oficio para efectos de oficilizar las Comisiones desde Bogotá.</t>
  </si>
  <si>
    <t>se define usar instrumento de caracterización del PES. Se solicitó mediante Oficio AMC-OFI-0021412-2018 el instrumento de caracterización al PES. Este lo remitió mediante Oficio AMC-OFI-0026194-2018,</t>
  </si>
  <si>
    <t xml:space="preserve">Se  estan articulando acciones con la ARN ( Agencia para la Reincorporación y Normalización).
Mediante Oficio AMC-OFI-001999-2018 se solicitó a la ARN información sobre las iniciativas de generación de ingresos que se han entregado. </t>
  </si>
  <si>
    <t>Se estan articulando acciones con CORVIVIENDA. Mediante Oficio AMC-OFI-0019980-2018 se solicitó información a Corvivienda sobre este respecto.</t>
  </si>
  <si>
    <t>Se han realizado tres (3) jornadas de sensibilización a la comunidad: 1) 15 de febrero de 2018 en San Francisco Sector el Wio; 2) Santa Rita 15 de marzo de 2018; 3) Portales de la Cordialidad, 20 de marzo de 2018.</t>
  </si>
  <si>
    <t xml:space="preserve">Se han sostenido diversas reuniones respecto a este borrador para incorporar este comité como instancia de los Consejos Territoriles de Convivencia, Paz y Reconciliación, así como los Comités de Prevención. Para ello, se han sostenido dos (2) reuniones con el delegado de la Oficina del Alto Comisionado para el Post-Conflicto. </t>
  </si>
  <si>
    <t xml:space="preserve">Casas de Justicia Móviles realizadas: dos en Cárcel de San Diego;   I.E. Fulgencio Lequerica; I.E. Nuevo bosque;  Corregimiento de la Boquilla; San Francisco ; Barrio Bostón ; Isla Punta Arena; Barrio Santa Rita  y  Portales de la Cordialidad 
</t>
  </si>
  <si>
    <t xml:space="preserve"> (E) MONTO EJECUTADO 30 DE JUNIO</t>
  </si>
  <si>
    <t>No ha sido viabilizada la agenda para el comité de justicia transcicional con el fin de aprobar.</t>
  </si>
  <si>
    <t xml:space="preserve">Se articulo con la estrategia MI NEGOCIO ETNICO de Prosperidad
Social, donde fueron beneficiados 235 familias victimas.
</t>
  </si>
  <si>
    <t>El total de personas atendidas psicosocialmente en estos espacios fueron de: TOTAL 686
PAV: Atención Psicosocial 532 
Talleres de Rehabilitación Emocional 90  
Atención por Ayuda Humanitaria de Urgencia 64</t>
  </si>
  <si>
    <t>Contrato N°005 de 2018</t>
  </si>
  <si>
    <t>No se ha avanzado en cuanto a la estrategia propuesta por la Unidad para las Victimas en Subcomité Nacional de Asistencia y Atención del pasado mes de Noviembre</t>
  </si>
  <si>
    <t>Población atendida por reporte en ruta de atencion subsidiaria</t>
  </si>
  <si>
    <t>Prevista  para el mes de Septiembre</t>
  </si>
  <si>
    <t>Convenio con INPEC  se suscribirá una vez se levante  ley de garantias.</t>
  </si>
  <si>
    <t>En tramite pre-contractual el convenio, una vez se levantó ley de garantias en el mes de junio</t>
  </si>
  <si>
    <t>Se identifica predio en Ternera, el cual cumple con normas de uso del suelo. A la espera de visita de USPEC para su viabilidad.</t>
  </si>
  <si>
    <t>En tramite pre-contractual la suscripción del convenio con ASOMENORES</t>
  </si>
  <si>
    <t>Se realizará pacto de no agresión con jóvenes residentes en el  barrio la Candelaria y barrios aledaños el18 de Julio  2018</t>
  </si>
  <si>
    <t>Se realiza articulación con FICCI y  ,  PoNal. Se proyecta la realizacion de los festivales culturales de julio a sep de 2018</t>
  </si>
  <si>
    <t>Se realizaran 10 festivales deportivos   en articulación con PoNal  programados entre Julio  y Sep de 2018</t>
  </si>
  <si>
    <t>Se proyecta  impulsar a traves del emprendimiento -(formación en panaderia ) a 90 jovenes e ciudad bicentenario a  a 30 de agosto  2018</t>
  </si>
  <si>
    <t>Suministro de combustibles, llantas y baterias para los vehículos al servicio del cuerpo oficial de Bomberos de la Alcladia Mayor de Cartagena</t>
  </si>
  <si>
    <t>Construión de  un centro para la atención integral o las víctimas del conflicto asentadas en el Distrito</t>
  </si>
  <si>
    <t>Porcentaje de atención a  los integrantes de la mesa Distrital de
Victimas.</t>
  </si>
  <si>
    <t>75 homicios en el segundo trimestre 2018
Fuente: Policía</t>
  </si>
  <si>
    <t>32 casos de extorsión en el segundo trimestre 2018
Fuente: Policía</t>
  </si>
  <si>
    <t>1545 casos de hurtos denunciados en el segundo trimestre 2018
Fuente: Policía</t>
  </si>
  <si>
    <t>344 casos de hurtos a residencias denunciados en el segundo trimestre 2018
Fuente: Policía</t>
  </si>
  <si>
    <t>consejo comunal realizado en: Lo Amador el 31 de mayo y el 06 de Junio en San Francisco.</t>
  </si>
  <si>
    <t>realizadas asi: 19 Abril emn Bocachica, 18 de Mayo en el Pozón, 31 de Mayo en lo Amador y 23 de Junio en Barú.</t>
  </si>
  <si>
    <t>Se está coordinando con consorcio de Aseo y Epa</t>
  </si>
  <si>
    <t xml:space="preserve">Contratado:
-UNIDAD MOVIL MIGRATORIA CON DESTINO A LA UNIDAD ADMINISTRATIVA ESPECIAL MIGRACION COLOMBIA - REGIONAL CARIBE.
-CAMIONETAS CINCO (5) PUERTAS NO UNIFORMADAS CON DESTINO A LA ARMADA NACIONAL
-VEHICULO TIPO AUTOMOVIL NO UNIFICADO CON DESTINO A
LA FISCALIA GENERAL DE LA NACION
-CAMIONETA CABINADA 4X4 NO UNIFORMADA CON DESTINO A
LA ARMADA NACIONAL
-CAMION CON
ESTACAS MAYOR A 7.2 HAS 10.5 TONELADAS CON
DETINO A LA ARMADA NACIONAL
-OBRAS DE ADECUACION DE
TERRENO EN LOTE URBANO PARA LA CONSTRUCCION DE LA ESTACION DISTRITO DE
POLICIA TIPO B EN EL DISTRITO DE CARTAGENA
DE INDIAS
</t>
  </si>
  <si>
    <t>Se rindió informe sobre el estado de titulación colectiva del Consejo Comunitariod de Tierra bomba.</t>
  </si>
  <si>
    <t>Se sostuvo reunión con la comunidad de Leticia para la creacón de las guardias ancestrales.</t>
  </si>
  <si>
    <t>Se sostuvo reunión con la OIM para inciar diagnóstico del estado de los reglamentos internos.</t>
  </si>
  <si>
    <t>Se realizó jornada de capacitación el día 27 de abril Alcaldía Local 1 con las JAC de la localidad 1. (San Pedro, Pablo VI, Espinal, Santa Rita, Pedro Salazar, Torices, Nariño, La Española)</t>
  </si>
  <si>
    <t>Se realizó campaña en contra de Discriminación Racial el día 21 de mayo de 2018 en la Alcaldía Local 3.</t>
  </si>
  <si>
    <t>Se realizaron dos jornadas de escogencia de representantes, se espera citar en pleno. Para la socialización de documento.</t>
  </si>
  <si>
    <t>Se sostuvo reunión con el Ministerio del Interior con quien se está articulando la elaboración de este borrador.</t>
  </si>
  <si>
    <t>Se realizó una jornada en artículación con al Escuela de Gobierno el día 02 de mayo de 2018.</t>
  </si>
  <si>
    <t>Se realizó diplomado con 200 personas en proceso de reintegración social sobre paz, derechos humanos y posconflicto.</t>
  </si>
  <si>
    <t xml:space="preserve">Se sostuvo reunión con la ARN para seguir articulando este tema. </t>
  </si>
  <si>
    <t>Se realizaron dos mesas de diálogo con población en proceso de reintegración, comunidad receptora y victimas.</t>
  </si>
  <si>
    <t xml:space="preserve">Campañas realizadas: JAC Loacalidad 1. </t>
  </si>
  <si>
    <t xml:space="preserve">Realizados en: Torices, Mirador de la Bahia, Olaya, Chile, Bayunca, Nuevo Paraiso, I.E Bicentenario, Fredonia, I.E El Libano, Nelson Mandela, Pasacaballos, Bayunca, I.E Juan José Nieto, CDI Los Angeles, I.E Luis Carlos Galan, Bayunca, Lo Amador, Bocachica, Colegio Mixto La Popa, Santana, I.E San José-Caño del Oro, Tierra Bomba. </t>
  </si>
  <si>
    <t>188
Fuente: Policia</t>
  </si>
  <si>
    <t>0 
Fuente: Policia</t>
  </si>
  <si>
    <t>128
casos de  delitos sexuales reportados.
Fuente: Policía</t>
  </si>
  <si>
    <t>636  casos de violencia intrafamiliar reportados.
Fuente: Policía</t>
  </si>
  <si>
    <t>Realizados en : Tierra Bomba, IE Soledad Acosta de Samper, Sevillana, VillaRosita, Pontezuela, Huellas de Alberto Uribe, Plaza de la Aduana, Arroyo Grande, IE Yireth, Villas de Aranjuez, Flor del Campo, Nueva Venecia, Ciudad Escolar confenalco, Escuela de Gobierno, Portales de la Cordialidad , perimetral, Casas de Justicia el Countri, Olaya, Chambacú , Recreo, Tierra Baja, Nueve de Abril, Bicentenario, San VIcente de Paula y la Esperanza.</t>
  </si>
  <si>
    <t>JAC Pasacaballos</t>
  </si>
  <si>
    <t>Se capacitó a funcionarios de Edurbe, Bomberos y Corvivienda.</t>
  </si>
  <si>
    <t>Se está articulando con Corvivienda y la ARN</t>
  </si>
  <si>
    <t>Aprobado en comité de justicia transicional el 10 de Agosto de 2018</t>
  </si>
  <si>
    <t>Realizadas con jovenes de Bicentenraio y la Candelaria.</t>
  </si>
  <si>
    <t>consejo comunal realizado en Punta Arena, San Francisco calle Buenos Aires, San Fernando, El Laguito, Vereda leticia y recreo</t>
  </si>
  <si>
    <t>Sectores recuperados: Barrio Fredonia, Darrio Bicentenario, Perimetral y  avenida del consulado.</t>
  </si>
  <si>
    <t>Realizadas en barrio Nueve de Abril y Tierra Baja</t>
  </si>
  <si>
    <t>60  casos de hurtos a residencias denunciados en el tercer  trimestre 2018
Fuente: Policía</t>
  </si>
  <si>
    <t>solicitado a la Policía</t>
  </si>
  <si>
    <t xml:space="preserve">Se define elaborar plan de vida con :
CABILDO INDIGENA KANKUAMO
</t>
  </si>
  <si>
    <t>Se está haciendo contacto con los consejos comunitarios de Arroyo de Piedras y  Arroyo de las Canoas</t>
  </si>
  <si>
    <t>Las investigaciones se realizaran independiente al ODAR, en el marco del porgrama Afro</t>
  </si>
  <si>
    <t>Se está haciendo proceso capacitación a 10 grupos de jóvenes de los sectores San Francisco, Villas de aranjuez, Candelaria, Boston, Olaya, Pozón , Libano, La florida, La esperanza y Bicentenario para identificar vocaciones.</t>
  </si>
  <si>
    <t>Se está haciendo socialización del festival deportivo en 14 barrios que participaran en los festivales. Actualmente se tiene listado de los participantes.</t>
  </si>
  <si>
    <t>Realizados en La Florida, Olaya sector el Tancon, Villas de Aranjuez,Fredonia, Bicentenario, Pozón sector 14 de Febrero,  San Francisco, Boston sector San Martín, La Esperanza sector Navidad y puerto pescador y Nelson Mandela</t>
  </si>
  <si>
    <t>No se ha recibido solicitud de acompañamiento técnico de parte de ninun consejo comunitario. Se requirió a la Agencia Nacional de Tierras información sobre alguna solicitud de titulación en Cartagena.</t>
  </si>
  <si>
    <t>Predio de Ternera no fue viable. Se está en proceso de busquda de nuevos predios que cumplan con los requisitos técnicas.</t>
  </si>
  <si>
    <t>Jaime Domingo De Avila Hernandez
Director Carcel Distrital</t>
  </si>
  <si>
    <t>actualización que se realizó el 27 de septiembre de 2018</t>
  </si>
  <si>
    <t>En Cartagena existen  522 conciliadores formados, de los cuales solo 21 estan  activos prestando sus servicios a la ciudadania. Razón por la cual se incluyeron  en la actualización de los ya existentes para su reactivación .</t>
  </si>
  <si>
    <t>En proceso de enviar documento técnico a  oficina asesora Jirídica.</t>
  </si>
  <si>
    <t xml:space="preserve"> (E) MONTO EJECUTADO 30 DE SEPTIEMBRE</t>
  </si>
  <si>
    <t xml:space="preserve"> Fortalecer en infraestructura a 16 inspecciones de policía, 2 casas de justicia y 2  comisarías de familia del Distrito.</t>
  </si>
  <si>
    <t xml:space="preserve"> Realizar una actualización normativa a todos los Inspectores de policía del Distrito de Cartagena.
</t>
  </si>
  <si>
    <t xml:space="preserve"> Garantizar el equipo técnico(ingenieros, arquitectos), jurídico y psicosocial de inspecciones de policía, casas de justicia y comisarias de familia, con el  perfil requerido y de manera permanente.</t>
  </si>
  <si>
    <t>Fortalecer con dotación tecnológica y logística a siete (7) Comisarías  de familia, tres (3) casas de justicia   y treinta y tres (33) inspecciones de policía.</t>
  </si>
  <si>
    <t>Inspecciones de Policia, Casas de Justica y comisarias de familia fortalecidas en infraestructura</t>
  </si>
  <si>
    <t xml:space="preserve">Inspectores de policia actualizados </t>
  </si>
  <si>
    <t>Inspecciones de Policia, Casas de Justica y comisarias de familia fortalecidas  con personal técnico(ingenieros, arquitectos), jurídico y psicosocial contratado</t>
  </si>
  <si>
    <t>3 casas de justicia y 7 comisarias de familia fortalecidas</t>
  </si>
  <si>
    <t>Inspecciones de Policia, Casas de Justica y comisarias de familia fortalecidas  con dotación tecnológica y logística</t>
  </si>
  <si>
    <t>Metas proyecto incluidas en virtud al art. 206 de la ley 1801 de 2016 por el cual se expide el Código Nacional de Policía y Convivencia y  la estrategia de fortalecimiento a las inspecciones de Policia que contempla el “Plan de Normalización Urbanística construyendo la ciudad de esperanza” de 2017</t>
  </si>
  <si>
    <t>Se dotaron de papelería y utiles de oficina.</t>
  </si>
  <si>
    <t>43 homicios en el trecer trimestre 2018
Fuente: Policía</t>
  </si>
  <si>
    <t>Tasa de extorsión en el tercer trimestre 2018: 2
Fuente: Policía</t>
  </si>
  <si>
    <t>Tasa de hurtos en el tercer trimestre 2018: 105
Fuente: Policía</t>
  </si>
  <si>
    <t>Tasa de Violencia Intrafamiliar en el tercer trimestre:33
Fuente: Policía</t>
  </si>
  <si>
    <t>Tasa de delitos sexuales  en el tercer trimestre:18
Fuente: Policía</t>
  </si>
  <si>
    <t>2 homicidios por riña de pandillas.
Fuente:  Policía</t>
  </si>
  <si>
    <t>realizadas en:. Dos en  Bicentenario, San Vicente de Paula,Fundación Pies descalzos, Colegio Jorge Artel  en la Perimetral, IE José de la Vega y en Nelson Mandela.</t>
  </si>
  <si>
    <t>Realizados en: La Esperanza, Fundación Pies desclazos, Bicentenario, Colegio Jorge Artel, IE Jose de la Vega, Nelson Madela, Torres del Bicentenario., Colegio Santa Maria, Coliseo de Combate, Palestina, Colegio Comfamilia, Bayunca y siete de Agosto.</t>
  </si>
  <si>
    <t>JOSE CARLOS PUELLO RUBIO
Secretario del Interior</t>
  </si>
  <si>
    <t>se realizaron en  ASOMENORES-Zaragocilla, Villas de Aranjuez, Bicentenario, La Florida, La Maria, La Candelaria, la  Esperanza,Pozón 14 de Febrero, Olaya sector Rafael Nuñez, sector Play Blanca, El Libano, Boston,Las Lomas y Fredonia</t>
  </si>
  <si>
    <t>Se realizó en el Barrio La Maria, Pozón, Villas de aranjuez y San Francisco.</t>
  </si>
  <si>
    <t>se ajusta reporte. En vigencia 2018 no se entregaron unidades productivas a población indigena</t>
  </si>
  <si>
    <t>Se identifica y visita en compañía de la USPEC  nuevo predio localizado en la variante Pozón- Policarpa. Se está a la espera de concepto tecnico de la USPEC para las adecuaciones fisicas que el predio requiere.</t>
  </si>
  <si>
    <t>Sectores recuperados en los barrios: Navidad y Puerto pescadores, pozón sector 14 de Febrero, Boston y San Fernando.</t>
  </si>
  <si>
    <t>78 homicios en el cuarto trimestre 2018
Fuente: Policía</t>
  </si>
  <si>
    <t>Tasa de extorsión en el cuarto trimestre 2018: 1
Fuente: Policía</t>
  </si>
  <si>
    <t>Tasa de hurtos en el cuarto trimestre 2018: 90
Fuente: Policía</t>
  </si>
  <si>
    <t>200  casos de hurtos a residencias denunciados en el cuarto  trimestre 2018
Fuente: Policía</t>
  </si>
  <si>
    <t>Tasa de Violencia Intrafamiliar en el cuarto trimestre:31
Fuente: Policía</t>
  </si>
  <si>
    <t>Tasa de delitos sexuales  en el tercer cuarto:15
Fuente: Policía</t>
  </si>
  <si>
    <t>3 homicidios por riña de pandillas.
Fuente:  Policía</t>
  </si>
  <si>
    <t xml:space="preserve"> (E) MONTO EJECUTADO 31 DE DICIEMBRE</t>
  </si>
  <si>
    <t>02-001-06-20-01-11-01-01</t>
  </si>
  <si>
    <t>FORTALECIMIENTO AFRO - Ingresos Corrientes de Libre Destinacion</t>
  </si>
  <si>
    <t>02-001-06-20-01-11-01-02</t>
  </si>
  <si>
    <t>FORTALECIMIENTO INDIGENA - Ingresos Corrientes de Libre Destinacion</t>
  </si>
  <si>
    <t>02-001-06-20-01-11-02-01</t>
  </si>
  <si>
    <t>OBSERVATORIO DISTRITAL DE DISCRIMINACION - Ingresos Corrientes de Libre Destinacion</t>
  </si>
  <si>
    <t>02-001-06-20-02-01-02-04</t>
  </si>
  <si>
    <t>EMPRENDIMIENTO  ETNICO AFRO E INDIGENA - Ingresos Corrientes de Libre Destinacion</t>
  </si>
  <si>
    <t>02-001-06-20-03-01-01-02</t>
  </si>
  <si>
    <t>FORTALECIMIENTO DE LOS MECANISMOS COMUNITARIOS DE PREVENCION DEL DELITO - Ingresos Corrientes de Libre Destinacion</t>
  </si>
  <si>
    <t>02-001-06-20-03-01-02-01</t>
  </si>
  <si>
    <t>02-001-06-20-03-01-02-02</t>
  </si>
  <si>
    <t>FORTALECIMIENTO CARCELARIO Y PENITENCIARIO - Ingresos Corrientes de Libre Destinacion</t>
  </si>
  <si>
    <t>02-001-06-20-03-01-02-03</t>
  </si>
  <si>
    <t>02-001-06-20-03-01-03-03</t>
  </si>
  <si>
    <t>MODERNIZACION INSPECCIONES DE POLICIA, COMISARIAS DE FAMILIA, CASAS DE JUSTICIA Y OTRAS SEDES DEL DISTRITO - Ingresos Corrientes de Libre Destinacion</t>
  </si>
  <si>
    <t>02-001-06-20-03-01-03-04</t>
  </si>
  <si>
    <t>FORTALECIMIENTO DE INSPECCIONES POLICIA, COMISARIAS DE FAMILIA, CASAS DE JUSTICIA Y OTRAS SEDES DEL DISTRITO - Ingresos Corrientes de Libre Destinacion</t>
  </si>
  <si>
    <t>02-001-06-20-03-01-04-02</t>
  </si>
  <si>
    <t>CARTAGENA POR LA CONVIVENCIA - Ingresos Corrientes de Libre Destinacion</t>
  </si>
  <si>
    <t>02-001-06-20-03-01-05-01</t>
  </si>
  <si>
    <t>PRIMERO LOS JOVENES - Ingresos Corrientes de Libre Destinacion</t>
  </si>
  <si>
    <t>FORTALECIMIENTO DEL SISTEMA DE RESPONSABILIDAD PENAL ADOLESCENTE - SRPA - Ingresos Corrientes de Libre Destinacion</t>
  </si>
  <si>
    <t>02-001-06-20-03-02-01-01</t>
  </si>
  <si>
    <t>ASISTENCIA Y REPARACION INTEGRAL A ViCTIMAS DEL CONFLICTO ARMADO - Ingresos Corrientes de Libre Destinacion</t>
  </si>
  <si>
    <t>02-001-06-20-03-02-02-01</t>
  </si>
  <si>
    <t>REINTEGRACION SOCIAL - Ingresos Corrientes de Libre Destinacion</t>
  </si>
  <si>
    <t>02-001-06-20-03-02-03-01</t>
  </si>
  <si>
    <t>DERECHOS HUMANOS - Ingresos Corrientes de Libre Destinacion</t>
  </si>
  <si>
    <t>02-001-06-10-03-05-03-01</t>
  </si>
  <si>
    <t>PROYECTOS PRESUPUESTO PARTICIPATIVO - Ingresos Corrientes de Libre Destinacion</t>
  </si>
  <si>
    <t>(7) META PRODUCTO PLAN DE DESARROLLO A 2019</t>
  </si>
  <si>
    <t>LINEA BASE A 2017 (ACUMULADO 2016+2017)</t>
  </si>
  <si>
    <t>META PRODUCTO 2016 SEGÚN PLAN INDICATIVO</t>
  </si>
  <si>
    <t>META PRODUCTO 2017 SEGÚN PLAN INDICATIVO</t>
  </si>
  <si>
    <t>META PRODUCTO 2018 SEGÚN PLAN INDICATIVO</t>
  </si>
  <si>
    <t>META PRODUCTO 2019 SEGÚN PLAN INDICATIVO</t>
  </si>
  <si>
    <t>(8B) META PRODUCTO EJECUTADA A MARZO 31 DE 2018</t>
  </si>
  <si>
    <t>(8C) META PRODUCTO EJECUTADA A JUNIO 30 DE 2018</t>
  </si>
  <si>
    <t>(8C) META PRODUCTO EJECUTADA A SEPTIEMBRE 30 DE 2018</t>
  </si>
  <si>
    <t>(8C) META PRODUCTO EJECUTADA A DICIEMBRE 31 DE 2018</t>
  </si>
  <si>
    <t>METAS PRODUCTO EJECUTADAS A DICIEMBRE 2018</t>
  </si>
  <si>
    <t>METAS PRODUCTOS ACUMULADAS 2016-2018</t>
  </si>
  <si>
    <t>EVALUACION METAS PRODUCTOS SEGÚN PLANEACION</t>
  </si>
  <si>
    <t>(10) META PROYECTO</t>
  </si>
  <si>
    <t>(8B) META PROYECTO EJECUTADA A MARZO 31 DE 2018</t>
  </si>
  <si>
    <t>(8C) META PROYECTO EJECUTADA A JUNIO 30 DE 2018</t>
  </si>
  <si>
    <t>(8C) META PROYECTO EJECUTADA A SEPTIEMBRE 30 DE 2018</t>
  </si>
  <si>
    <t>(8C) META PROYECTO EJECUTADA A DICIEMBRE 31 DE 2018</t>
  </si>
  <si>
    <t>EVALUACION METAS PROYECTOS SEGÚN PLANEACION</t>
  </si>
  <si>
    <t>(12) INDICADOR</t>
  </si>
  <si>
    <t>( 13) CRONOGRAMA PROGRAMADO</t>
  </si>
  <si>
    <t>(15) RECURSOS</t>
  </si>
  <si>
    <t>(1) OBJETIVO</t>
  </si>
  <si>
    <t>(2) EJE ESTRATEGICO</t>
  </si>
  <si>
    <t>(3) LINEA ESTRATEGICA</t>
  </si>
  <si>
    <t>(4) PROGRAMA</t>
  </si>
  <si>
    <t>(5) META RESULTADO PLAN DE DESARROLLO</t>
  </si>
  <si>
    <t xml:space="preserve"> (5B)META RESULTADO EJECUTADA A MARZO 31 2018 </t>
  </si>
  <si>
    <t xml:space="preserve">(5C)META RESULTADO EJECUTADA A JUNIO 30 2018 </t>
  </si>
  <si>
    <t xml:space="preserve">(5C)META RESULTADO EJECUTADA A SEP 30 2018 </t>
  </si>
  <si>
    <t xml:space="preserve">(5C)META RESULTADO EJECUTADA A DIC 31 2018 </t>
  </si>
  <si>
    <t>(6) SUBPROGRAMA</t>
  </si>
  <si>
    <t>(9) PROYECTO</t>
  </si>
  <si>
    <t>EVALUACION DE PROGRAMAS SEGÚN PLANEACION</t>
  </si>
  <si>
    <t>APROPIACION DEFINITIVA SEGÚN PREDIS</t>
  </si>
  <si>
    <t>EJECUTADO SEGÚN PREDIS</t>
  </si>
  <si>
    <t>PORCENTAJE EJECUTADO</t>
  </si>
  <si>
    <t>( 14) RESPONSABLE</t>
  </si>
  <si>
    <t>CODIGO PRESUPUESTAL</t>
  </si>
  <si>
    <t>FUENTE</t>
  </si>
  <si>
    <t>OBSERVACIONES MARZO</t>
  </si>
  <si>
    <t>OBSERVACIONES JUNIO</t>
  </si>
  <si>
    <t>OBSERVACIONES SEPTIEMBRE</t>
  </si>
  <si>
    <t>OBSERVACIONES DICIEMBRE</t>
  </si>
  <si>
    <t>RUBRO</t>
  </si>
  <si>
    <t>PORCENTAJE EJECUTADO POR PROGRAMA</t>
  </si>
  <si>
    <t>CONVENIO MINISTERIO DEL INTERIOR FONSECON</t>
  </si>
  <si>
    <t>DISTRITO DE CARTAENA-CONVENIO</t>
  </si>
  <si>
    <t>FONDO TERRITORIAL DE SEGURIDAD Y CONVIVENCIA CIUDANA-FONSET</t>
  </si>
  <si>
    <t>RECURSOS FONSET</t>
  </si>
  <si>
    <t>02-037-06-20-03-01-01-</t>
  </si>
  <si>
    <t>02-007-06-20-03-01-01-02</t>
  </si>
  <si>
    <t>02-005-06-95-03-01-01-01</t>
  </si>
  <si>
    <t>02-040-06-20-03-01-01-01</t>
  </si>
  <si>
    <t>02-040-06-95-03-01-01-01</t>
  </si>
  <si>
    <t>02-120-06-20-03-01-01-03</t>
  </si>
  <si>
    <t>02-120-06-93-03-01-01-04</t>
  </si>
  <si>
    <t>02-120-06-95-03-01-01-04</t>
  </si>
  <si>
    <t xml:space="preserve">FORTALECIMIENTO INSTITUCIONAL DE LA SECRETARIA DEL INTERIOR </t>
  </si>
  <si>
    <t>TRASLADO CARCEL DE SAN DIEGO</t>
  </si>
  <si>
    <t>02-001-06-20-03-01-02-04</t>
  </si>
  <si>
    <t xml:space="preserve">CONVENIO INPEC </t>
  </si>
  <si>
    <t>02-042-06-93-03-01-02-01</t>
  </si>
  <si>
    <t>FORTALECIMIENTO CUERPO DE BOMBEROS. Sobretasa Bomberil</t>
  </si>
  <si>
    <t>02-042-06-95-03-01-02-01</t>
  </si>
  <si>
    <t>FORTALECIMIENTO CUERPO DE BOMBEROS - Sobretasa Bomberil</t>
  </si>
  <si>
    <t xml:space="preserve">SOBRETASA BOMBERIL </t>
  </si>
  <si>
    <t>02-044-06-20-03-01-02-03</t>
  </si>
  <si>
    <t xml:space="preserve">FORTALECIMIENTO CUERPO DE BOMBEROS - </t>
  </si>
  <si>
    <t>Rendimientos financieros Sobretasa Bomberil</t>
  </si>
  <si>
    <t>02-044-06-95-03-01-02-01</t>
  </si>
  <si>
    <t>02-086-06-20-03-01-02-03</t>
  </si>
  <si>
    <t>FORTALECIMIENTO CUERPO DE BOMBEROS</t>
  </si>
  <si>
    <t>02-089-06-20-03-01-02-01</t>
  </si>
  <si>
    <t>FORTALECIMIENTO INSTITUCIONAL DE LA SECRETARIA DEL INTERIOR</t>
  </si>
  <si>
    <t>Otros rendimientos financieros</t>
  </si>
  <si>
    <t>02-037-06-20-03-02-02-01</t>
  </si>
  <si>
    <t>REINTEGRACION SOCIAL</t>
  </si>
  <si>
    <t>02-037-06-20-03-01-03-03</t>
  </si>
  <si>
    <t>MODERNIZACION INSPECCIONES DE POLICIA, COMISARIAS DE FAMILIA, CASAS DE JUSTICIA Y OTRAS SEDES DEL DISTRITO</t>
  </si>
  <si>
    <t xml:space="preserve">RENDimientos financieros </t>
  </si>
  <si>
    <t>02-070-06-20-03-01-03-03</t>
  </si>
  <si>
    <t xml:space="preserve">SGP </t>
  </si>
  <si>
    <t>02-089-06-20-03-01-03-03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</si>
</sst>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00_);_(&quot;$&quot;\ * \(#,##0.00\);_(&quot;$&quot;\ * &quot;-&quot;??_);_(@_)"/>
    <numFmt numFmtId="165" formatCode="0.0"/>
    <numFmt numFmtId="166" formatCode="_(&quot;$&quot;\ * #,##0_);_(&quot;$&quot;\ * \(#,##0\);_(&quot;$&quot;\ * &quot;-&quot;??_);_(@_)"/>
    <numFmt numFmtId="167" formatCode="0.000"/>
  </numFmts>
  <fonts count="21" x14ac:knownFonts="1">
    <font>
      <sz val="11"/>
      <color theme="1"/>
      <name val="Calibri"/>
      <family val="2"/>
      <scheme val="minor"/>
    </font>
    <font>
      <b/>
      <sz val="11"/>
      <name val="Arial"/>
      <family val="2"/>
    </font>
    <font>
      <b/>
      <sz val="11"/>
      <color rgb="FFFF0000"/>
      <name val="Arial"/>
      <family val="2"/>
    </font>
    <font>
      <sz val="11"/>
      <color theme="1"/>
      <name val="Calibri"/>
      <family val="2"/>
      <scheme val="minor"/>
    </font>
    <font>
      <sz val="10"/>
      <name val="Calibri"/>
      <family val="2"/>
      <scheme val="minor"/>
    </font>
    <font>
      <sz val="11"/>
      <name val="Calibri"/>
      <family val="2"/>
      <scheme val="minor"/>
    </font>
    <font>
      <sz val="10"/>
      <name val="Arial Narrow"/>
      <family val="2"/>
    </font>
    <font>
      <sz val="10"/>
      <color theme="1"/>
      <name val="Calibri"/>
      <family val="2"/>
      <scheme val="minor"/>
    </font>
    <font>
      <b/>
      <sz val="10"/>
      <name val="Arial Narrow"/>
      <family val="2"/>
    </font>
    <font>
      <sz val="10"/>
      <color theme="1"/>
      <name val="Arial Narrow"/>
      <family val="2"/>
    </font>
    <font>
      <sz val="10"/>
      <color rgb="FF000000"/>
      <name val="Arial Narrow"/>
      <family val="2"/>
    </font>
    <font>
      <sz val="9"/>
      <color indexed="81"/>
      <name val="Tahoma"/>
      <family val="2"/>
    </font>
    <font>
      <b/>
      <sz val="9"/>
      <color indexed="81"/>
      <name val="Tahoma"/>
      <family val="2"/>
    </font>
    <font>
      <sz val="10"/>
      <color rgb="FFFF0000"/>
      <name val="Arial Narrow"/>
      <family val="2"/>
    </font>
    <font>
      <sz val="10"/>
      <color rgb="FFFF0000"/>
      <name val="Calibri"/>
      <family val="2"/>
      <scheme val="minor"/>
    </font>
    <font>
      <b/>
      <sz val="16"/>
      <color theme="1"/>
      <name val="Calibri"/>
      <family val="2"/>
      <scheme val="minor"/>
    </font>
    <font>
      <b/>
      <sz val="11"/>
      <color theme="1" tint="0.14999847407452621"/>
      <name val="Arial"/>
      <family val="2"/>
    </font>
    <font>
      <sz val="10"/>
      <color indexed="8"/>
      <name val="MS Sans Serif"/>
      <charset val="1"/>
    </font>
    <font>
      <sz val="10"/>
      <color indexed="8"/>
      <name val="MS Sans Serif"/>
      <family val="2"/>
    </font>
    <font>
      <sz val="10"/>
      <color rgb="FFFF0000"/>
      <name val="MS Sans Serif"/>
      <family val="2"/>
    </font>
    <font>
      <sz val="10"/>
      <color rgb="FFFF0000"/>
      <name val="MS Sans Serif"/>
      <charset val="1"/>
    </font>
  </fonts>
  <fills count="2">
    <fill>
      <patternFill patternType="none"/>
    </fill>
    <fill>
      <patternFill patternType="gray125"/>
    </fill>
  </fills>
  <borders count="3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3">
    <xf numFmtId="0" fontId="0" fillId="0" borderId="0"/>
    <xf numFmtId="9" fontId="3" fillId="0" borderId="0" applyFont="0" applyFill="0" applyBorder="0" applyAlignment="0" applyProtection="0"/>
    <xf numFmtId="164" fontId="3" fillId="0" borderId="0" applyFont="0" applyFill="0" applyBorder="0" applyAlignment="0" applyProtection="0"/>
  </cellStyleXfs>
  <cellXfs count="373">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1" fillId="0" borderId="2" xfId="0" applyFont="1" applyFill="1" applyBorder="1"/>
    <xf numFmtId="0" fontId="4" fillId="0" borderId="2" xfId="0" applyFont="1" applyFill="1" applyBorder="1" applyAlignment="1">
      <alignment horizontal="center" vertical="top" wrapText="1"/>
    </xf>
    <xf numFmtId="0" fontId="4" fillId="0" borderId="2" xfId="0" applyFont="1" applyFill="1" applyBorder="1" applyAlignment="1">
      <alignment vertical="top" wrapText="1"/>
    </xf>
    <xf numFmtId="0" fontId="4" fillId="0" borderId="3"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2" xfId="0" applyFont="1" applyFill="1" applyBorder="1" applyAlignment="1">
      <alignment horizontal="center" vertical="center" wrapText="1"/>
    </xf>
    <xf numFmtId="0" fontId="5" fillId="0" borderId="2" xfId="0" applyFont="1" applyFill="1" applyBorder="1"/>
    <xf numFmtId="0" fontId="6" fillId="0" borderId="2" xfId="0" applyFont="1" applyFill="1" applyBorder="1" applyAlignment="1">
      <alignment horizontal="justify" vertical="top" wrapText="1"/>
    </xf>
    <xf numFmtId="0" fontId="0" fillId="0" borderId="2" xfId="0" applyBorder="1"/>
    <xf numFmtId="0" fontId="0" fillId="0" borderId="0" xfId="0" applyBorder="1" applyAlignment="1">
      <alignment vertical="center"/>
    </xf>
    <xf numFmtId="0" fontId="4" fillId="0" borderId="2" xfId="0" applyFont="1" applyFill="1" applyBorder="1" applyAlignment="1">
      <alignment horizontal="center" vertical="top"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3" fontId="0" fillId="0" borderId="2" xfId="0" applyNumberFormat="1" applyFill="1" applyBorder="1" applyAlignment="1">
      <alignment horizontal="center" vertical="center"/>
    </xf>
    <xf numFmtId="0" fontId="6"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5" fillId="0" borderId="2" xfId="0" applyFont="1" applyFill="1" applyBorder="1" applyAlignment="1">
      <alignment horizontal="center" vertical="top" wrapText="1"/>
    </xf>
    <xf numFmtId="0" fontId="4" fillId="0" borderId="2" xfId="0" applyFont="1" applyFill="1" applyBorder="1" applyAlignment="1">
      <alignment vertical="top" wrapText="1"/>
    </xf>
    <xf numFmtId="0" fontId="7" fillId="0" borderId="2" xfId="0" applyFont="1" applyFill="1" applyBorder="1" applyAlignment="1">
      <alignment horizontal="center" vertical="top" wrapText="1"/>
    </xf>
    <xf numFmtId="0" fontId="0" fillId="0" borderId="2" xfId="0" applyFill="1" applyBorder="1" applyAlignment="1">
      <alignment horizontal="center" vertical="top" wrapText="1"/>
    </xf>
    <xf numFmtId="0" fontId="4" fillId="0" borderId="11" xfId="0" applyFont="1" applyFill="1" applyBorder="1" applyAlignment="1">
      <alignment vertical="top" wrapText="1"/>
    </xf>
    <xf numFmtId="0" fontId="5" fillId="0" borderId="2" xfId="0" applyNumberFormat="1" applyFont="1" applyFill="1" applyBorder="1"/>
    <xf numFmtId="0" fontId="0" fillId="0" borderId="2" xfId="0" applyBorder="1" applyAlignment="1"/>
    <xf numFmtId="0" fontId="4" fillId="0" borderId="10" xfId="0" applyFont="1" applyFill="1" applyBorder="1" applyAlignment="1">
      <alignment horizontal="center" vertical="top" wrapText="1"/>
    </xf>
    <xf numFmtId="0" fontId="5" fillId="0" borderId="2" xfId="0" applyFont="1" applyFill="1" applyBorder="1" applyAlignment="1">
      <alignment horizontal="center" vertical="top" wrapText="1"/>
    </xf>
    <xf numFmtId="0" fontId="6" fillId="0" borderId="2" xfId="0" applyFont="1" applyFill="1" applyBorder="1" applyAlignment="1">
      <alignment vertical="top" wrapText="1"/>
    </xf>
    <xf numFmtId="0" fontId="6" fillId="0" borderId="10" xfId="0" applyFont="1" applyFill="1" applyBorder="1" applyAlignment="1">
      <alignment horizontal="center" vertical="top" wrapText="1"/>
    </xf>
    <xf numFmtId="0" fontId="9" fillId="0" borderId="1" xfId="0" applyFont="1" applyBorder="1" applyAlignment="1">
      <alignment vertical="center"/>
    </xf>
    <xf numFmtId="0" fontId="9" fillId="0" borderId="2" xfId="0" applyFont="1" applyBorder="1" applyAlignment="1"/>
    <xf numFmtId="0" fontId="9" fillId="0" borderId="2" xfId="0" applyFont="1" applyFill="1" applyBorder="1"/>
    <xf numFmtId="9" fontId="6" fillId="0" borderId="2" xfId="1" applyFont="1" applyFill="1" applyBorder="1" applyAlignment="1">
      <alignment horizontal="center" vertical="top" wrapText="1"/>
    </xf>
    <xf numFmtId="0" fontId="9" fillId="0" borderId="2" xfId="0" applyFont="1" applyBorder="1"/>
    <xf numFmtId="1" fontId="6" fillId="0" borderId="2" xfId="0" applyNumberFormat="1" applyFont="1" applyFill="1" applyBorder="1" applyAlignment="1">
      <alignment horizontal="center" vertical="top" wrapText="1"/>
    </xf>
    <xf numFmtId="0" fontId="6" fillId="0" borderId="2" xfId="0" applyFont="1" applyFill="1" applyBorder="1" applyAlignment="1">
      <alignment vertical="top" textRotation="90" wrapText="1"/>
    </xf>
    <xf numFmtId="0" fontId="6" fillId="0" borderId="1" xfId="0" applyFont="1" applyFill="1" applyBorder="1" applyAlignment="1">
      <alignment vertical="top" textRotation="90" wrapText="1"/>
    </xf>
    <xf numFmtId="0" fontId="6" fillId="0" borderId="2" xfId="0" applyFont="1" applyFill="1" applyBorder="1" applyAlignment="1">
      <alignment horizontal="center" vertical="top"/>
    </xf>
    <xf numFmtId="3" fontId="6" fillId="0" borderId="2" xfId="0" applyNumberFormat="1" applyFont="1" applyFill="1" applyBorder="1" applyAlignment="1">
      <alignment horizontal="center" vertical="top" wrapText="1"/>
    </xf>
    <xf numFmtId="0" fontId="6" fillId="0" borderId="2" xfId="0" applyFont="1" applyFill="1" applyBorder="1" applyAlignment="1">
      <alignment horizontal="center"/>
    </xf>
    <xf numFmtId="0" fontId="6" fillId="0" borderId="10" xfId="0" applyFont="1" applyFill="1" applyBorder="1" applyAlignment="1">
      <alignment horizontal="center" vertical="top" wrapText="1"/>
    </xf>
    <xf numFmtId="0" fontId="9" fillId="0" borderId="10" xfId="0" applyFont="1" applyBorder="1"/>
    <xf numFmtId="0" fontId="6" fillId="0" borderId="14" xfId="0" applyFont="1" applyBorder="1" applyAlignment="1">
      <alignment vertical="center" wrapText="1"/>
    </xf>
    <xf numFmtId="0" fontId="6" fillId="0" borderId="14" xfId="0" applyFont="1" applyBorder="1" applyAlignment="1">
      <alignment vertical="top" wrapText="1"/>
    </xf>
    <xf numFmtId="0" fontId="9" fillId="0" borderId="15" xfId="0" applyFont="1" applyFill="1" applyBorder="1"/>
    <xf numFmtId="0" fontId="9" fillId="0" borderId="15" xfId="0" applyFont="1" applyBorder="1"/>
    <xf numFmtId="0" fontId="6" fillId="0" borderId="15" xfId="0" applyFont="1" applyFill="1" applyBorder="1" applyAlignment="1">
      <alignment horizontal="center" vertical="top" wrapText="1"/>
    </xf>
    <xf numFmtId="0" fontId="9" fillId="0" borderId="15" xfId="0" applyFont="1" applyBorder="1" applyAlignment="1">
      <alignment wrapText="1"/>
    </xf>
    <xf numFmtId="0" fontId="9" fillId="0" borderId="15" xfId="0" applyFont="1" applyBorder="1" applyAlignment="1">
      <alignment vertical="top" wrapText="1"/>
    </xf>
    <xf numFmtId="2" fontId="9" fillId="0" borderId="15" xfId="0" applyNumberFormat="1" applyFont="1" applyBorder="1" applyAlignment="1">
      <alignment vertical="top" wrapText="1"/>
    </xf>
    <xf numFmtId="0" fontId="0" fillId="0" borderId="2" xfId="0" applyBorder="1" applyAlignment="1">
      <alignment vertical="top" wrapText="1"/>
    </xf>
    <xf numFmtId="0" fontId="9" fillId="0" borderId="2" xfId="0" applyFont="1" applyBorder="1" applyAlignment="1">
      <alignment vertical="top" wrapText="1"/>
    </xf>
    <xf numFmtId="0" fontId="0" fillId="0" borderId="2" xfId="0" applyBorder="1" applyAlignment="1">
      <alignment wrapText="1"/>
    </xf>
    <xf numFmtId="0" fontId="0" fillId="0" borderId="2" xfId="0" applyFill="1" applyBorder="1"/>
    <xf numFmtId="166" fontId="6" fillId="0" borderId="2" xfId="2" applyNumberFormat="1" applyFont="1" applyFill="1" applyBorder="1" applyAlignment="1">
      <alignment vertical="top" textRotation="90" wrapText="1"/>
    </xf>
    <xf numFmtId="0" fontId="9" fillId="0" borderId="2" xfId="0" applyFont="1" applyBorder="1" applyAlignment="1">
      <alignment wrapText="1"/>
    </xf>
    <xf numFmtId="1" fontId="9" fillId="0" borderId="2" xfId="0" applyNumberFormat="1" applyFont="1" applyBorder="1"/>
    <xf numFmtId="167" fontId="9" fillId="0" borderId="2" xfId="0" applyNumberFormat="1" applyFont="1" applyFill="1" applyBorder="1"/>
    <xf numFmtId="0" fontId="9" fillId="0" borderId="1" xfId="0" applyFont="1" applyBorder="1" applyAlignment="1">
      <alignment horizontal="right" vertical="center"/>
    </xf>
    <xf numFmtId="0" fontId="9" fillId="0" borderId="2" xfId="0" applyFont="1" applyBorder="1" applyAlignment="1">
      <alignment horizontal="right"/>
    </xf>
    <xf numFmtId="0" fontId="6" fillId="0" borderId="2" xfId="0" applyFont="1" applyBorder="1" applyAlignment="1">
      <alignment vertical="center" wrapText="1"/>
    </xf>
    <xf numFmtId="0" fontId="0" fillId="0" borderId="2" xfId="0" applyBorder="1" applyAlignment="1">
      <alignment horizontal="center" vertical="center" wrapText="1"/>
    </xf>
    <xf numFmtId="0" fontId="6" fillId="0" borderId="2"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2" xfId="0" applyFont="1" applyFill="1" applyBorder="1" applyAlignment="1">
      <alignment vertical="top" wrapText="1"/>
    </xf>
    <xf numFmtId="0" fontId="6" fillId="0" borderId="10" xfId="0" applyFont="1" applyFill="1" applyBorder="1" applyAlignment="1">
      <alignment vertical="top" textRotation="90" wrapText="1"/>
    </xf>
    <xf numFmtId="166" fontId="6" fillId="0" borderId="10" xfId="2" applyNumberFormat="1" applyFont="1" applyFill="1" applyBorder="1" applyAlignment="1">
      <alignment vertical="top" textRotation="90" wrapText="1"/>
    </xf>
    <xf numFmtId="0" fontId="6" fillId="0" borderId="2" xfId="0" applyFont="1" applyFill="1" applyBorder="1" applyAlignment="1">
      <alignment vertical="top" wrapText="1"/>
    </xf>
    <xf numFmtId="0" fontId="6" fillId="0" borderId="10" xfId="0" applyFont="1" applyFill="1" applyBorder="1" applyAlignment="1">
      <alignment horizontal="center" vertical="top" wrapText="1"/>
    </xf>
    <xf numFmtId="0" fontId="9" fillId="0" borderId="2" xfId="0" applyFont="1" applyBorder="1" applyAlignment="1">
      <alignment vertical="top" wrapText="1"/>
    </xf>
    <xf numFmtId="0" fontId="6" fillId="0" borderId="2" xfId="0" applyFont="1" applyFill="1" applyBorder="1" applyAlignment="1">
      <alignment horizontal="center" vertical="top" wrapText="1"/>
    </xf>
    <xf numFmtId="0" fontId="6" fillId="0" borderId="2" xfId="0" applyFont="1" applyBorder="1" applyAlignment="1">
      <alignment vertical="top" wrapText="1"/>
    </xf>
    <xf numFmtId="2" fontId="9" fillId="0" borderId="2" xfId="0" applyNumberFormat="1" applyFont="1" applyBorder="1" applyAlignment="1">
      <alignment vertical="top" wrapText="1"/>
    </xf>
    <xf numFmtId="0" fontId="9" fillId="0" borderId="2" xfId="0" applyFont="1" applyBorder="1" applyAlignment="1">
      <alignment vertical="top" wrapText="1"/>
    </xf>
    <xf numFmtId="0" fontId="6" fillId="0" borderId="2" xfId="0" applyFont="1" applyFill="1" applyBorder="1" applyAlignment="1">
      <alignment horizontal="center" vertical="top" wrapText="1"/>
    </xf>
    <xf numFmtId="0" fontId="9" fillId="0" borderId="2" xfId="0" applyFont="1" applyBorder="1" applyAlignment="1">
      <alignment vertical="top" wrapText="1"/>
    </xf>
    <xf numFmtId="0" fontId="6" fillId="0" borderId="2" xfId="0" applyFont="1" applyFill="1" applyBorder="1" applyAlignment="1">
      <alignment vertical="top" wrapText="1"/>
    </xf>
    <xf numFmtId="0" fontId="6" fillId="0" borderId="10" xfId="0" applyFont="1" applyFill="1" applyBorder="1" applyAlignment="1">
      <alignment horizontal="center" vertical="top" wrapText="1"/>
    </xf>
    <xf numFmtId="166" fontId="6" fillId="0" borderId="2" xfId="2" applyNumberFormat="1" applyFont="1" applyFill="1" applyBorder="1" applyAlignment="1">
      <alignment vertical="top" textRotation="90" wrapText="1"/>
    </xf>
    <xf numFmtId="0" fontId="9" fillId="0" borderId="2" xfId="0" applyFont="1" applyFill="1" applyBorder="1" applyAlignment="1">
      <alignment horizontal="right"/>
    </xf>
    <xf numFmtId="166" fontId="6" fillId="0" borderId="16" xfId="2" applyNumberFormat="1" applyFont="1" applyFill="1" applyBorder="1" applyAlignment="1">
      <alignment vertical="top" textRotation="90" wrapText="1"/>
    </xf>
    <xf numFmtId="166" fontId="6" fillId="0" borderId="15" xfId="2" applyNumberFormat="1" applyFont="1" applyFill="1" applyBorder="1" applyAlignment="1">
      <alignment vertical="top" textRotation="90" wrapText="1"/>
    </xf>
    <xf numFmtId="0" fontId="13" fillId="0" borderId="2" xfId="0" applyFont="1" applyFill="1" applyBorder="1" applyAlignment="1">
      <alignment horizontal="center" vertical="top" wrapText="1"/>
    </xf>
    <xf numFmtId="166" fontId="0" fillId="0" borderId="0" xfId="0" applyNumberFormat="1"/>
    <xf numFmtId="0" fontId="6" fillId="0" borderId="2" xfId="0" applyFont="1" applyFill="1" applyBorder="1" applyAlignment="1">
      <alignment horizontal="center" vertical="top" wrapText="1"/>
    </xf>
    <xf numFmtId="0" fontId="6" fillId="0" borderId="2" xfId="0" applyFont="1" applyFill="1" applyBorder="1" applyAlignment="1">
      <alignment horizontal="center" vertical="top" wrapText="1"/>
    </xf>
    <xf numFmtId="0" fontId="9" fillId="0" borderId="2" xfId="0" applyFont="1" applyBorder="1" applyAlignment="1">
      <alignment vertical="top" wrapText="1"/>
    </xf>
    <xf numFmtId="0" fontId="6" fillId="0" borderId="2" xfId="0" applyFont="1" applyFill="1" applyBorder="1" applyAlignment="1">
      <alignment vertical="top" wrapText="1"/>
    </xf>
    <xf numFmtId="0" fontId="6" fillId="0" borderId="10" xfId="0" applyFont="1" applyFill="1" applyBorder="1" applyAlignment="1">
      <alignment horizontal="center" vertical="top" wrapText="1"/>
    </xf>
    <xf numFmtId="0" fontId="9" fillId="0" borderId="2" xfId="0" applyFont="1" applyBorder="1" applyAlignment="1">
      <alignment vertical="center"/>
    </xf>
    <xf numFmtId="0" fontId="9" fillId="0" borderId="2" xfId="0" applyFont="1" applyBorder="1" applyAlignment="1">
      <alignment vertical="top" wrapText="1"/>
    </xf>
    <xf numFmtId="0" fontId="4" fillId="0" borderId="2" xfId="0" applyFont="1" applyFill="1" applyBorder="1" applyAlignment="1">
      <alignment horizontal="center" vertical="top" wrapText="1"/>
    </xf>
    <xf numFmtId="0" fontId="4" fillId="0" borderId="10" xfId="0" applyFont="1" applyFill="1" applyBorder="1" applyAlignment="1">
      <alignment vertical="top" wrapText="1"/>
    </xf>
    <xf numFmtId="166" fontId="6" fillId="0" borderId="1" xfId="2" applyNumberFormat="1" applyFont="1" applyFill="1" applyBorder="1" applyAlignment="1">
      <alignment vertical="top" textRotation="90" wrapText="1"/>
    </xf>
    <xf numFmtId="166" fontId="6" fillId="0" borderId="2" xfId="2" applyNumberFormat="1" applyFont="1" applyFill="1" applyBorder="1" applyAlignment="1">
      <alignment vertical="top" textRotation="90" wrapText="1"/>
    </xf>
    <xf numFmtId="0" fontId="6" fillId="0" borderId="2" xfId="0" applyFont="1" applyFill="1" applyBorder="1" applyAlignment="1">
      <alignment horizontal="center" vertical="top" wrapText="1"/>
    </xf>
    <xf numFmtId="1" fontId="9" fillId="0" borderId="2" xfId="0" applyNumberFormat="1" applyFont="1" applyFill="1" applyBorder="1"/>
    <xf numFmtId="0" fontId="6" fillId="0" borderId="10" xfId="0" applyFont="1" applyFill="1" applyBorder="1" applyAlignment="1">
      <alignment horizontal="center" vertical="top" wrapText="1"/>
    </xf>
    <xf numFmtId="0" fontId="4" fillId="0" borderId="2" xfId="0" applyFont="1" applyFill="1" applyBorder="1" applyAlignment="1">
      <alignment horizontal="center" vertical="top" wrapText="1"/>
    </xf>
    <xf numFmtId="0" fontId="6" fillId="0" borderId="10" xfId="0" applyFont="1" applyFill="1" applyBorder="1" applyAlignment="1">
      <alignment horizontal="center" vertical="top" wrapText="1"/>
    </xf>
    <xf numFmtId="9" fontId="9" fillId="0" borderId="1" xfId="1" applyFont="1" applyBorder="1" applyAlignment="1">
      <alignment horizontal="right" vertical="center"/>
    </xf>
    <xf numFmtId="9" fontId="9" fillId="0" borderId="2" xfId="1" applyFont="1" applyBorder="1" applyAlignment="1">
      <alignment horizontal="right"/>
    </xf>
    <xf numFmtId="9" fontId="9" fillId="0" borderId="2" xfId="1" applyFont="1" applyFill="1" applyBorder="1" applyAlignment="1">
      <alignment horizontal="right"/>
    </xf>
    <xf numFmtId="10" fontId="9" fillId="0" borderId="2" xfId="0" applyNumberFormat="1" applyFont="1" applyBorder="1" applyAlignment="1">
      <alignment horizontal="right"/>
    </xf>
    <xf numFmtId="9" fontId="9" fillId="0" borderId="2" xfId="1" applyFont="1" applyFill="1" applyBorder="1"/>
    <xf numFmtId="9" fontId="9" fillId="0" borderId="2" xfId="1" applyFont="1" applyBorder="1"/>
    <xf numFmtId="10" fontId="9" fillId="0" borderId="2" xfId="0" applyNumberFormat="1" applyFont="1" applyBorder="1"/>
    <xf numFmtId="10" fontId="9" fillId="0" borderId="2" xfId="1" applyNumberFormat="1" applyFont="1" applyBorder="1"/>
    <xf numFmtId="9" fontId="9" fillId="0" borderId="2" xfId="1" applyFont="1" applyBorder="1" applyAlignment="1">
      <alignment vertical="center"/>
    </xf>
    <xf numFmtId="9" fontId="9" fillId="0" borderId="10" xfId="1" applyFont="1" applyBorder="1"/>
    <xf numFmtId="10" fontId="15" fillId="0" borderId="0" xfId="0" applyNumberFormat="1" applyFont="1"/>
    <xf numFmtId="0" fontId="9" fillId="0" borderId="11" xfId="0" applyFont="1" applyBorder="1" applyAlignment="1">
      <alignment horizontal="right" vertical="center"/>
    </xf>
    <xf numFmtId="0" fontId="9" fillId="0" borderId="11" xfId="0" applyFont="1" applyBorder="1" applyAlignment="1">
      <alignment horizontal="right"/>
    </xf>
    <xf numFmtId="0" fontId="9" fillId="0" borderId="11" xfId="0" applyFont="1" applyFill="1" applyBorder="1" applyAlignment="1">
      <alignment horizontal="right"/>
    </xf>
    <xf numFmtId="0" fontId="9" fillId="0" borderId="1" xfId="0" applyFont="1" applyBorder="1" applyAlignment="1">
      <alignment horizontal="right"/>
    </xf>
    <xf numFmtId="1" fontId="9" fillId="0" borderId="11" xfId="0" applyNumberFormat="1" applyFont="1" applyFill="1" applyBorder="1"/>
    <xf numFmtId="0" fontId="9" fillId="0" borderId="11" xfId="0" applyFont="1" applyFill="1" applyBorder="1"/>
    <xf numFmtId="0" fontId="9" fillId="0" borderId="1" xfId="0" applyFont="1" applyFill="1" applyBorder="1"/>
    <xf numFmtId="0" fontId="9" fillId="0" borderId="11" xfId="0" applyFont="1" applyBorder="1"/>
    <xf numFmtId="0" fontId="9" fillId="0" borderId="1" xfId="0" applyFont="1" applyBorder="1"/>
    <xf numFmtId="0" fontId="9" fillId="0" borderId="11" xfId="0" applyFont="1" applyBorder="1" applyAlignment="1">
      <alignment horizontal="center" vertical="center"/>
    </xf>
    <xf numFmtId="0" fontId="9" fillId="0" borderId="11" xfId="0" applyFont="1" applyBorder="1" applyAlignment="1">
      <alignment horizontal="center"/>
    </xf>
    <xf numFmtId="0" fontId="9" fillId="0" borderId="2" xfId="0" applyFont="1" applyBorder="1" applyAlignment="1">
      <alignment horizontal="center" vertical="top"/>
    </xf>
    <xf numFmtId="3" fontId="9" fillId="0" borderId="2" xfId="0" applyNumberFormat="1" applyFont="1" applyFill="1" applyBorder="1"/>
    <xf numFmtId="3" fontId="9" fillId="0" borderId="2" xfId="0" applyNumberFormat="1" applyFont="1" applyBorder="1" applyAlignment="1">
      <alignment vertical="center"/>
    </xf>
    <xf numFmtId="10" fontId="9" fillId="0" borderId="11" xfId="0" applyNumberFormat="1" applyFont="1" applyBorder="1" applyAlignment="1">
      <alignment horizontal="right"/>
    </xf>
    <xf numFmtId="9" fontId="9" fillId="0" borderId="11" xfId="1" applyFont="1" applyBorder="1" applyAlignment="1">
      <alignment horizontal="right"/>
    </xf>
    <xf numFmtId="10" fontId="9" fillId="0" borderId="11" xfId="0" applyNumberFormat="1" applyFont="1" applyFill="1" applyBorder="1" applyAlignment="1">
      <alignment horizontal="right"/>
    </xf>
    <xf numFmtId="9" fontId="9" fillId="0" borderId="11" xfId="1" applyFont="1" applyFill="1" applyBorder="1" applyAlignment="1">
      <alignment horizontal="right"/>
    </xf>
    <xf numFmtId="10" fontId="9" fillId="0" borderId="1" xfId="0" applyNumberFormat="1" applyFont="1" applyBorder="1" applyAlignment="1">
      <alignment horizontal="right"/>
    </xf>
    <xf numFmtId="9" fontId="9" fillId="0" borderId="11" xfId="1" applyFont="1" applyFill="1" applyBorder="1"/>
    <xf numFmtId="10" fontId="9" fillId="0" borderId="1" xfId="0" applyNumberFormat="1" applyFont="1" applyFill="1" applyBorder="1"/>
    <xf numFmtId="0" fontId="6" fillId="0" borderId="1"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1" xfId="0" applyFont="1" applyFill="1" applyBorder="1" applyAlignment="1">
      <alignment vertical="top" wrapText="1"/>
    </xf>
    <xf numFmtId="0" fontId="6" fillId="0" borderId="2" xfId="0" applyFont="1" applyFill="1" applyBorder="1" applyAlignment="1">
      <alignment vertical="top" wrapText="1"/>
    </xf>
    <xf numFmtId="0" fontId="4" fillId="0" borderId="2" xfId="0" applyFont="1" applyFill="1" applyBorder="1" applyAlignment="1">
      <alignment vertical="top" wrapText="1"/>
    </xf>
    <xf numFmtId="0" fontId="0" fillId="0" borderId="2" xfId="0" applyBorder="1" applyAlignment="1">
      <alignment horizontal="center" vertical="top" wrapText="1"/>
    </xf>
    <xf numFmtId="0" fontId="0" fillId="0" borderId="1" xfId="0" applyFill="1" applyBorder="1" applyAlignment="1">
      <alignment horizontal="center" vertical="top" wrapText="1"/>
    </xf>
    <xf numFmtId="0" fontId="6" fillId="0" borderId="1" xfId="0" applyFont="1" applyBorder="1" applyAlignment="1">
      <alignment vertical="top" wrapText="1"/>
    </xf>
    <xf numFmtId="0" fontId="17" fillId="0" borderId="2" xfId="0" applyFont="1" applyBorder="1" applyAlignment="1">
      <alignment vertical="top" wrapText="1"/>
    </xf>
    <xf numFmtId="0" fontId="0" fillId="0" borderId="0" xfId="0" applyAlignment="1">
      <alignment vertical="top"/>
    </xf>
    <xf numFmtId="0" fontId="0" fillId="0" borderId="2" xfId="0" applyBorder="1" applyAlignment="1">
      <alignment vertical="top"/>
    </xf>
    <xf numFmtId="4" fontId="17" fillId="0" borderId="2" xfId="0" applyNumberFormat="1" applyFont="1" applyBorder="1" applyAlignment="1">
      <alignment vertical="top" wrapText="1"/>
    </xf>
    <xf numFmtId="0" fontId="0" fillId="0" borderId="2" xfId="0" applyFill="1" applyBorder="1" applyAlignment="1">
      <alignment horizontal="center" vertical="top"/>
    </xf>
    <xf numFmtId="0" fontId="9" fillId="0" borderId="2" xfId="0" applyFont="1" applyBorder="1" applyAlignment="1">
      <alignment vertical="top"/>
    </xf>
    <xf numFmtId="9" fontId="9" fillId="0" borderId="2" xfId="1" applyFont="1" applyBorder="1" applyAlignment="1">
      <alignment vertical="top"/>
    </xf>
    <xf numFmtId="0" fontId="1" fillId="0" borderId="0" xfId="0" applyFont="1" applyFill="1" applyBorder="1"/>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17" fillId="0" borderId="10" xfId="0" applyFont="1" applyBorder="1" applyAlignment="1">
      <alignment horizontal="center" vertical="top" wrapText="1"/>
    </xf>
    <xf numFmtId="0" fontId="0" fillId="0" borderId="11" xfId="0" applyBorder="1" applyAlignment="1">
      <alignment horizontal="center" vertical="top"/>
    </xf>
    <xf numFmtId="9" fontId="6" fillId="0" borderId="11" xfId="1"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1" xfId="0" applyFont="1" applyFill="1" applyBorder="1" applyAlignment="1">
      <alignment horizontal="center" vertical="top" wrapText="1"/>
    </xf>
    <xf numFmtId="166" fontId="6" fillId="0" borderId="11" xfId="2" applyNumberFormat="1" applyFont="1" applyFill="1" applyBorder="1" applyAlignment="1">
      <alignment vertical="top" textRotation="90"/>
    </xf>
    <xf numFmtId="0" fontId="6" fillId="0" borderId="11" xfId="0" applyFont="1" applyFill="1" applyBorder="1" applyAlignment="1">
      <alignment vertical="top" textRotation="90"/>
    </xf>
    <xf numFmtId="0" fontId="6" fillId="0" borderId="2" xfId="0" applyFont="1" applyFill="1" applyBorder="1" applyAlignment="1">
      <alignment horizontal="center"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1" xfId="0" applyFont="1" applyFill="1" applyBorder="1" applyAlignment="1">
      <alignment vertical="top" wrapText="1"/>
    </xf>
    <xf numFmtId="0" fontId="6" fillId="0" borderId="2" xfId="0" applyFont="1" applyFill="1" applyBorder="1" applyAlignment="1">
      <alignment vertical="top" wrapText="1"/>
    </xf>
    <xf numFmtId="10" fontId="9" fillId="0" borderId="11" xfId="0" applyNumberFormat="1" applyFont="1" applyBorder="1" applyAlignment="1">
      <alignment horizontal="center" vertical="top"/>
    </xf>
    <xf numFmtId="0" fontId="17" fillId="0" borderId="2" xfId="0" applyFont="1" applyBorder="1" applyAlignment="1">
      <alignment horizontal="center" vertical="top" wrapText="1"/>
    </xf>
    <xf numFmtId="4" fontId="17" fillId="0" borderId="2" xfId="0" applyNumberFormat="1" applyFont="1" applyBorder="1" applyAlignment="1">
      <alignment horizontal="center" vertical="top" wrapText="1"/>
    </xf>
    <xf numFmtId="0" fontId="6" fillId="0" borderId="2" xfId="0" applyFont="1" applyFill="1" applyBorder="1" applyAlignment="1">
      <alignment vertical="top" wrapText="1"/>
    </xf>
    <xf numFmtId="0" fontId="8" fillId="0" borderId="31" xfId="0" applyFont="1" applyFill="1" applyBorder="1" applyAlignment="1">
      <alignment horizontal="center" vertical="center" wrapText="1"/>
    </xf>
    <xf numFmtId="0" fontId="8" fillId="0" borderId="2" xfId="0" applyFont="1" applyFill="1" applyBorder="1" applyAlignment="1">
      <alignment horizontal="center" vertical="center" wrapText="1"/>
    </xf>
    <xf numFmtId="10" fontId="6" fillId="0" borderId="11" xfId="0" applyNumberFormat="1" applyFont="1" applyFill="1" applyBorder="1" applyAlignment="1">
      <alignment vertical="top" wrapText="1"/>
    </xf>
    <xf numFmtId="10" fontId="6" fillId="0" borderId="1" xfId="0" applyNumberFormat="1" applyFont="1" applyFill="1" applyBorder="1" applyAlignment="1">
      <alignment vertical="top" wrapText="1"/>
    </xf>
    <xf numFmtId="0" fontId="17" fillId="0" borderId="10" xfId="0" applyFont="1" applyBorder="1" applyAlignment="1">
      <alignment vertical="top" wrapText="1"/>
    </xf>
    <xf numFmtId="10" fontId="6" fillId="0" borderId="2" xfId="0" applyNumberFormat="1" applyFont="1" applyFill="1" applyBorder="1" applyAlignment="1">
      <alignment vertical="top" wrapText="1"/>
    </xf>
    <xf numFmtId="9" fontId="9" fillId="0" borderId="11" xfId="1" applyFont="1" applyBorder="1" applyAlignment="1">
      <alignment horizontal="left" vertical="top"/>
    </xf>
    <xf numFmtId="4" fontId="6" fillId="0" borderId="11" xfId="0" applyNumberFormat="1" applyFont="1" applyFill="1" applyBorder="1" applyAlignment="1">
      <alignment vertical="top" wrapText="1"/>
    </xf>
    <xf numFmtId="9" fontId="6" fillId="0" borderId="11" xfId="1" applyFont="1" applyFill="1" applyBorder="1" applyAlignment="1">
      <alignment vertical="top" wrapText="1"/>
    </xf>
    <xf numFmtId="4" fontId="6" fillId="0" borderId="2" xfId="0" applyNumberFormat="1" applyFont="1" applyFill="1" applyBorder="1" applyAlignment="1">
      <alignment vertical="top" wrapText="1"/>
    </xf>
    <xf numFmtId="9" fontId="6" fillId="0" borderId="2" xfId="1" applyFont="1" applyFill="1" applyBorder="1" applyAlignment="1">
      <alignment vertical="top" wrapText="1"/>
    </xf>
    <xf numFmtId="0" fontId="1" fillId="0" borderId="0" xfId="0" applyFont="1" applyFill="1" applyBorder="1" applyAlignment="1">
      <alignment horizontal="center" vertical="top" wrapText="1"/>
    </xf>
    <xf numFmtId="0" fontId="1" fillId="0" borderId="32" xfId="0" applyFont="1" applyFill="1" applyBorder="1" applyAlignment="1">
      <alignment horizontal="center" vertical="top" wrapText="1"/>
    </xf>
    <xf numFmtId="0" fontId="1" fillId="0" borderId="17" xfId="0" applyFont="1" applyFill="1" applyBorder="1" applyAlignment="1">
      <alignment horizontal="center" vertical="top" wrapText="1"/>
    </xf>
    <xf numFmtId="0" fontId="1"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7" fillId="0" borderId="1" xfId="0" applyFont="1" applyBorder="1" applyAlignment="1">
      <alignment vertical="top"/>
    </xf>
    <xf numFmtId="0" fontId="17" fillId="0" borderId="1" xfId="0" applyFont="1" applyBorder="1" applyAlignment="1">
      <alignment vertical="top" wrapText="1"/>
    </xf>
    <xf numFmtId="9" fontId="8" fillId="0" borderId="2" xfId="1" applyFont="1" applyFill="1" applyBorder="1" applyAlignment="1">
      <alignment horizontal="center" vertical="top" wrapText="1"/>
    </xf>
    <xf numFmtId="9" fontId="8" fillId="0" borderId="31" xfId="1" applyFont="1" applyFill="1" applyBorder="1" applyAlignment="1">
      <alignment horizontal="center" vertical="top" wrapText="1"/>
    </xf>
    <xf numFmtId="10" fontId="6" fillId="0" borderId="2" xfId="1" applyNumberFormat="1" applyFont="1" applyFill="1" applyBorder="1" applyAlignment="1">
      <alignment vertical="top" wrapText="1"/>
    </xf>
    <xf numFmtId="3" fontId="6" fillId="0" borderId="2" xfId="0" applyNumberFormat="1" applyFont="1" applyFill="1" applyBorder="1" applyAlignment="1">
      <alignment vertical="top" wrapText="1"/>
    </xf>
    <xf numFmtId="9" fontId="6" fillId="0" borderId="2" xfId="1" applyFont="1" applyFill="1" applyBorder="1" applyAlignment="1">
      <alignment horizontal="center" vertical="top" wrapText="1"/>
    </xf>
    <xf numFmtId="166" fontId="6" fillId="0" borderId="11" xfId="2" applyNumberFormat="1" applyFont="1" applyFill="1" applyBorder="1" applyAlignment="1">
      <alignment vertical="top" textRotation="90" wrapText="1"/>
    </xf>
    <xf numFmtId="0" fontId="6" fillId="0" borderId="11" xfId="0" applyFont="1" applyFill="1" applyBorder="1" applyAlignment="1">
      <alignment vertical="top" textRotation="90" wrapText="1"/>
    </xf>
    <xf numFmtId="0" fontId="6" fillId="0" borderId="10" xfId="0" applyFont="1" applyFill="1" applyBorder="1" applyAlignment="1">
      <alignment horizontal="center"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vertical="top" wrapText="1"/>
    </xf>
    <xf numFmtId="0" fontId="6" fillId="0" borderId="2" xfId="0" applyFont="1" applyFill="1" applyBorder="1" applyAlignment="1">
      <alignment horizontal="center" vertical="top" wrapText="1"/>
    </xf>
    <xf numFmtId="0" fontId="6" fillId="0" borderId="10" xfId="0" applyFont="1" applyFill="1" applyBorder="1" applyAlignment="1">
      <alignment vertical="top" wrapText="1"/>
    </xf>
    <xf numFmtId="0" fontId="6" fillId="0" borderId="1" xfId="0" applyFont="1" applyFill="1" applyBorder="1" applyAlignment="1">
      <alignment vertical="top" wrapText="1"/>
    </xf>
    <xf numFmtId="10" fontId="9" fillId="0" borderId="11" xfId="0" applyNumberFormat="1" applyFont="1" applyFill="1" applyBorder="1" applyAlignment="1">
      <alignment horizontal="center" vertical="top"/>
    </xf>
    <xf numFmtId="3" fontId="17" fillId="0" borderId="2" xfId="0" applyNumberFormat="1" applyFont="1" applyBorder="1" applyAlignment="1">
      <alignment vertical="top"/>
    </xf>
    <xf numFmtId="0" fontId="17" fillId="0" borderId="2" xfId="0" applyFont="1" applyBorder="1" applyAlignment="1">
      <alignment vertical="top"/>
    </xf>
    <xf numFmtId="0" fontId="18" fillId="0" borderId="2" xfId="0" applyFont="1" applyBorder="1" applyAlignment="1">
      <alignment vertical="top"/>
    </xf>
    <xf numFmtId="3" fontId="18" fillId="0" borderId="2" xfId="0" applyNumberFormat="1" applyFont="1" applyBorder="1" applyAlignment="1">
      <alignment vertical="top"/>
    </xf>
    <xf numFmtId="4" fontId="18" fillId="0" borderId="2" xfId="0" applyNumberFormat="1" applyFont="1" applyBorder="1" applyAlignment="1">
      <alignment vertical="top"/>
    </xf>
    <xf numFmtId="3" fontId="18" fillId="0" borderId="2" xfId="0" applyNumberFormat="1" applyFont="1" applyFill="1" applyBorder="1" applyAlignment="1">
      <alignment vertical="top"/>
    </xf>
    <xf numFmtId="4" fontId="17" fillId="0" borderId="10" xfId="0" applyNumberFormat="1" applyFont="1" applyBorder="1" applyAlignment="1">
      <alignment horizontal="center" vertical="top" wrapText="1"/>
    </xf>
    <xf numFmtId="9" fontId="6" fillId="0" borderId="10" xfId="0" applyNumberFormat="1" applyFont="1" applyFill="1" applyBorder="1" applyAlignment="1">
      <alignment vertical="top" wrapText="1"/>
    </xf>
    <xf numFmtId="9" fontId="6" fillId="0" borderId="2" xfId="0" applyNumberFormat="1" applyFont="1" applyFill="1" applyBorder="1" applyAlignment="1">
      <alignment vertical="top" wrapText="1"/>
    </xf>
    <xf numFmtId="0" fontId="6" fillId="0" borderId="10" xfId="0" applyFont="1" applyFill="1" applyBorder="1" applyAlignment="1">
      <alignment vertical="top" textRotation="90" wrapText="1"/>
    </xf>
    <xf numFmtId="0" fontId="6" fillId="0" borderId="11" xfId="0" applyFont="1" applyFill="1" applyBorder="1" applyAlignment="1">
      <alignment vertical="top" textRotation="90" wrapText="1"/>
    </xf>
    <xf numFmtId="10" fontId="9" fillId="0" borderId="11" xfId="0" applyNumberFormat="1" applyFont="1" applyFill="1" applyBorder="1" applyAlignment="1">
      <alignment horizontal="center" vertical="top"/>
    </xf>
    <xf numFmtId="166" fontId="6" fillId="0" borderId="11" xfId="2" applyNumberFormat="1" applyFont="1" applyFill="1" applyBorder="1" applyAlignment="1">
      <alignment vertical="top" textRotation="90" wrapText="1"/>
    </xf>
    <xf numFmtId="0" fontId="9" fillId="0" borderId="2" xfId="0" applyFont="1" applyBorder="1" applyAlignment="1">
      <alignment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2" xfId="0" applyFont="1" applyFill="1" applyBorder="1" applyAlignment="1">
      <alignment vertical="top" wrapText="1"/>
    </xf>
    <xf numFmtId="0" fontId="6" fillId="0" borderId="1" xfId="0" applyFont="1" applyFill="1" applyBorder="1" applyAlignment="1">
      <alignment vertical="top" wrapText="1"/>
    </xf>
    <xf numFmtId="0" fontId="6" fillId="0" borderId="10" xfId="0" applyFont="1" applyFill="1" applyBorder="1" applyAlignment="1">
      <alignment vertical="top" wrapText="1"/>
    </xf>
    <xf numFmtId="9" fontId="6" fillId="0" borderId="11" xfId="1" applyFont="1" applyFill="1" applyBorder="1" applyAlignment="1">
      <alignment horizontal="center" vertical="top" wrapText="1"/>
    </xf>
    <xf numFmtId="0" fontId="6" fillId="0" borderId="10" xfId="0" applyFont="1" applyFill="1" applyBorder="1" applyAlignment="1">
      <alignment horizontal="center" vertical="top" wrapText="1"/>
    </xf>
    <xf numFmtId="3" fontId="17" fillId="0" borderId="2" xfId="0" applyNumberFormat="1" applyFont="1" applyFill="1" applyBorder="1" applyAlignment="1">
      <alignment vertical="top"/>
    </xf>
    <xf numFmtId="4" fontId="0" fillId="0" borderId="0" xfId="0" applyNumberFormat="1"/>
    <xf numFmtId="0" fontId="18" fillId="0" borderId="2" xfId="0" applyFont="1" applyBorder="1" applyAlignment="1">
      <alignment vertical="top" wrapText="1"/>
    </xf>
    <xf numFmtId="4" fontId="6" fillId="0" borderId="10" xfId="0" applyNumberFormat="1" applyFont="1" applyFill="1" applyBorder="1" applyAlignment="1">
      <alignment vertical="top" wrapText="1"/>
    </xf>
    <xf numFmtId="4" fontId="6" fillId="0" borderId="1" xfId="0" applyNumberFormat="1" applyFont="1" applyFill="1" applyBorder="1" applyAlignment="1">
      <alignment vertical="top" wrapText="1"/>
    </xf>
    <xf numFmtId="10" fontId="6" fillId="0" borderId="10" xfId="0" applyNumberFormat="1" applyFont="1" applyFill="1" applyBorder="1" applyAlignment="1">
      <alignment vertical="top" wrapText="1"/>
    </xf>
    <xf numFmtId="0" fontId="0" fillId="0" borderId="2" xfId="0" applyFont="1" applyBorder="1" applyAlignment="1">
      <alignment vertical="top" wrapText="1"/>
    </xf>
    <xf numFmtId="4" fontId="13" fillId="0" borderId="2" xfId="0" applyNumberFormat="1" applyFont="1" applyFill="1" applyBorder="1" applyAlignment="1">
      <alignment vertical="top" wrapText="1"/>
    </xf>
    <xf numFmtId="0" fontId="9" fillId="0" borderId="16" xfId="0" applyFont="1" applyBorder="1"/>
    <xf numFmtId="3" fontId="19" fillId="0" borderId="2" xfId="0" applyNumberFormat="1" applyFont="1" applyBorder="1" applyAlignment="1">
      <alignment vertical="top"/>
    </xf>
    <xf numFmtId="4" fontId="13" fillId="0" borderId="11" xfId="0" applyNumberFormat="1" applyFont="1" applyFill="1" applyBorder="1" applyAlignment="1">
      <alignment vertical="top" wrapText="1"/>
    </xf>
    <xf numFmtId="4" fontId="17" fillId="0" borderId="2" xfId="0" applyNumberFormat="1" applyFont="1" applyBorder="1" applyAlignment="1">
      <alignment vertical="top"/>
    </xf>
    <xf numFmtId="0" fontId="17" fillId="0" borderId="2" xfId="0" applyFont="1" applyBorder="1" applyAlignment="1">
      <alignment wrapText="1"/>
    </xf>
    <xf numFmtId="3" fontId="20" fillId="0" borderId="2" xfId="0" applyNumberFormat="1" applyFont="1" applyBorder="1" applyAlignment="1">
      <alignment vertical="top"/>
    </xf>
    <xf numFmtId="0" fontId="1" fillId="0" borderId="2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4"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1" fillId="0" borderId="18"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8" xfId="0" applyFont="1" applyFill="1" applyBorder="1" applyAlignment="1">
      <alignment horizontal="center" vertical="center" wrapText="1"/>
    </xf>
    <xf numFmtId="166" fontId="6" fillId="0" borderId="10" xfId="2" applyNumberFormat="1" applyFont="1" applyFill="1" applyBorder="1" applyAlignment="1">
      <alignment vertical="top" textRotation="88" wrapText="1"/>
    </xf>
    <xf numFmtId="166" fontId="6" fillId="0" borderId="11" xfId="2" applyNumberFormat="1" applyFont="1" applyFill="1" applyBorder="1" applyAlignment="1">
      <alignment vertical="top" textRotation="88" wrapText="1"/>
    </xf>
    <xf numFmtId="166" fontId="6" fillId="0" borderId="1" xfId="2" applyNumberFormat="1" applyFont="1" applyFill="1" applyBorder="1" applyAlignment="1">
      <alignment vertical="top" textRotation="88" wrapText="1"/>
    </xf>
    <xf numFmtId="166" fontId="6" fillId="0" borderId="10" xfId="2" applyNumberFormat="1" applyFont="1" applyFill="1" applyBorder="1" applyAlignment="1">
      <alignment vertical="top" textRotation="90" wrapText="1"/>
    </xf>
    <xf numFmtId="166" fontId="6" fillId="0" borderId="11" xfId="2" applyNumberFormat="1" applyFont="1" applyFill="1" applyBorder="1" applyAlignment="1">
      <alignment vertical="top" textRotation="90" wrapText="1"/>
    </xf>
    <xf numFmtId="0" fontId="6" fillId="0" borderId="10" xfId="0" applyFont="1" applyFill="1" applyBorder="1" applyAlignment="1">
      <alignment vertical="top" textRotation="90" wrapText="1"/>
    </xf>
    <xf numFmtId="0" fontId="6" fillId="0" borderId="1" xfId="0" applyFont="1" applyFill="1" applyBorder="1" applyAlignment="1">
      <alignment vertical="top" textRotation="90" wrapText="1"/>
    </xf>
    <xf numFmtId="166" fontId="6" fillId="0" borderId="1" xfId="2" applyNumberFormat="1" applyFont="1" applyFill="1" applyBorder="1" applyAlignment="1">
      <alignment vertical="top" textRotation="90" wrapText="1"/>
    </xf>
    <xf numFmtId="0" fontId="6" fillId="0" borderId="11" xfId="0" applyFont="1" applyFill="1" applyBorder="1" applyAlignment="1">
      <alignment vertical="top" textRotation="90" wrapText="1"/>
    </xf>
    <xf numFmtId="10" fontId="6" fillId="0" borderId="10" xfId="0" applyNumberFormat="1" applyFont="1" applyFill="1" applyBorder="1" applyAlignment="1">
      <alignment horizontal="center" vertical="top" wrapText="1"/>
    </xf>
    <xf numFmtId="10" fontId="6" fillId="0" borderId="11" xfId="0" applyNumberFormat="1" applyFont="1" applyFill="1" applyBorder="1" applyAlignment="1">
      <alignment horizontal="center" vertical="top" wrapText="1"/>
    </xf>
    <xf numFmtId="10" fontId="6" fillId="0" borderId="1" xfId="0" applyNumberFormat="1" applyFont="1" applyFill="1" applyBorder="1" applyAlignment="1">
      <alignment horizontal="center" vertical="top" wrapText="1"/>
    </xf>
    <xf numFmtId="4" fontId="6" fillId="0" borderId="10" xfId="0" applyNumberFormat="1" applyFont="1" applyFill="1" applyBorder="1" applyAlignment="1">
      <alignment horizontal="center" vertical="top" wrapText="1"/>
    </xf>
    <xf numFmtId="4" fontId="6" fillId="0" borderId="11" xfId="0" applyNumberFormat="1" applyFont="1" applyFill="1" applyBorder="1" applyAlignment="1">
      <alignment horizontal="center" vertical="top" wrapText="1"/>
    </xf>
    <xf numFmtId="4" fontId="6" fillId="0" borderId="1" xfId="0" applyNumberFormat="1" applyFont="1" applyFill="1" applyBorder="1" applyAlignment="1">
      <alignment horizontal="center" vertical="top" wrapText="1"/>
    </xf>
    <xf numFmtId="9" fontId="6" fillId="0" borderId="10" xfId="1" applyFont="1" applyFill="1" applyBorder="1" applyAlignment="1">
      <alignment horizontal="center" vertical="top" wrapText="1"/>
    </xf>
    <xf numFmtId="9" fontId="6" fillId="0" borderId="11" xfId="1" applyFont="1" applyFill="1" applyBorder="1" applyAlignment="1">
      <alignment horizontal="center" vertical="top" wrapText="1"/>
    </xf>
    <xf numFmtId="9" fontId="6" fillId="0" borderId="1" xfId="1" applyFont="1" applyFill="1" applyBorder="1" applyAlignment="1">
      <alignment horizontal="center" vertical="top" wrapText="1"/>
    </xf>
    <xf numFmtId="0" fontId="9" fillId="0" borderId="2" xfId="0" applyFont="1" applyBorder="1" applyAlignment="1">
      <alignment vertical="top" wrapText="1"/>
    </xf>
    <xf numFmtId="0" fontId="4" fillId="0" borderId="2"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2" xfId="0" applyFont="1" applyFill="1" applyBorder="1" applyAlignment="1">
      <alignment vertical="top" wrapText="1"/>
    </xf>
    <xf numFmtId="10" fontId="9" fillId="0" borderId="10" xfId="0" applyNumberFormat="1" applyFont="1" applyFill="1" applyBorder="1" applyAlignment="1">
      <alignment horizontal="center"/>
    </xf>
    <xf numFmtId="10" fontId="9" fillId="0" borderId="11" xfId="0" applyNumberFormat="1" applyFont="1" applyFill="1" applyBorder="1" applyAlignment="1">
      <alignment horizontal="center"/>
    </xf>
    <xf numFmtId="10" fontId="9" fillId="0" borderId="1" xfId="0" applyNumberFormat="1" applyFont="1" applyFill="1" applyBorder="1" applyAlignment="1">
      <alignment horizontal="center"/>
    </xf>
    <xf numFmtId="10" fontId="9" fillId="0" borderId="10" xfId="0" applyNumberFormat="1" applyFont="1" applyBorder="1" applyAlignment="1">
      <alignment horizontal="center"/>
    </xf>
    <xf numFmtId="10" fontId="9" fillId="0" borderId="11" xfId="0" applyNumberFormat="1" applyFont="1" applyBorder="1" applyAlignment="1">
      <alignment horizontal="center"/>
    </xf>
    <xf numFmtId="10" fontId="9" fillId="0" borderId="1" xfId="0" applyNumberFormat="1" applyFont="1" applyBorder="1" applyAlignment="1">
      <alignment horizontal="center"/>
    </xf>
    <xf numFmtId="0" fontId="6" fillId="0" borderId="10" xfId="0" applyFont="1" applyFill="1" applyBorder="1" applyAlignment="1">
      <alignment vertical="top" textRotation="88" wrapText="1"/>
    </xf>
    <xf numFmtId="0" fontId="6" fillId="0" borderId="11" xfId="0" applyFont="1" applyFill="1" applyBorder="1" applyAlignment="1">
      <alignment vertical="top" textRotation="88" wrapText="1"/>
    </xf>
    <xf numFmtId="0" fontId="6" fillId="0" borderId="1" xfId="0" applyFont="1" applyFill="1" applyBorder="1" applyAlignment="1">
      <alignment vertical="top" textRotation="88" wrapText="1"/>
    </xf>
    <xf numFmtId="0" fontId="6" fillId="0" borderId="11" xfId="0" applyFont="1" applyFill="1" applyBorder="1" applyAlignment="1">
      <alignment vertical="top" textRotation="90"/>
    </xf>
    <xf numFmtId="0" fontId="6" fillId="0" borderId="1" xfId="0" applyFont="1" applyFill="1" applyBorder="1" applyAlignment="1">
      <alignment vertical="top" textRotation="90"/>
    </xf>
    <xf numFmtId="0" fontId="6" fillId="0" borderId="10" xfId="0" applyFont="1" applyFill="1" applyBorder="1" applyAlignment="1">
      <alignment vertical="top" textRotation="90"/>
    </xf>
    <xf numFmtId="0" fontId="0" fillId="0" borderId="10" xfId="0" applyBorder="1" applyAlignment="1">
      <alignment horizontal="center" vertical="top" wrapText="1"/>
    </xf>
    <xf numFmtId="0" fontId="0" fillId="0" borderId="1" xfId="0" applyBorder="1" applyAlignment="1">
      <alignment horizontal="center" vertical="top" wrapText="1"/>
    </xf>
    <xf numFmtId="9" fontId="6" fillId="0" borderId="2" xfId="1" applyFont="1" applyFill="1" applyBorder="1" applyAlignment="1">
      <alignment horizontal="center" vertical="top" wrapText="1"/>
    </xf>
    <xf numFmtId="9" fontId="6" fillId="0" borderId="10" xfId="1" applyNumberFormat="1" applyFont="1" applyFill="1" applyBorder="1" applyAlignment="1">
      <alignment horizontal="center" vertical="top" wrapText="1"/>
    </xf>
    <xf numFmtId="9" fontId="6" fillId="0" borderId="11" xfId="1" applyNumberFormat="1" applyFont="1" applyFill="1" applyBorder="1" applyAlignment="1">
      <alignment horizontal="center" vertical="top" wrapText="1"/>
    </xf>
    <xf numFmtId="9" fontId="6" fillId="0" borderId="1" xfId="1" applyNumberFormat="1" applyFont="1" applyFill="1" applyBorder="1" applyAlignment="1">
      <alignment horizontal="center" vertical="top" wrapText="1"/>
    </xf>
    <xf numFmtId="10" fontId="6" fillId="0" borderId="10" xfId="1" applyNumberFormat="1" applyFont="1" applyFill="1" applyBorder="1" applyAlignment="1">
      <alignment horizontal="center" vertical="top" wrapText="1"/>
    </xf>
    <xf numFmtId="10" fontId="6" fillId="0" borderId="11" xfId="1" applyNumberFormat="1" applyFont="1" applyFill="1" applyBorder="1" applyAlignment="1">
      <alignment horizontal="center" vertical="top" wrapText="1"/>
    </xf>
    <xf numFmtId="10" fontId="6" fillId="0" borderId="1" xfId="1" applyNumberFormat="1" applyFont="1" applyFill="1" applyBorder="1" applyAlignment="1">
      <alignment horizontal="center" vertical="top" wrapText="1"/>
    </xf>
    <xf numFmtId="0" fontId="17" fillId="0" borderId="11" xfId="0" applyFont="1" applyBorder="1" applyAlignment="1">
      <alignment horizontal="center" vertical="top" wrapText="1"/>
    </xf>
    <xf numFmtId="0" fontId="17" fillId="0" borderId="1" xfId="0" applyFont="1" applyBorder="1" applyAlignment="1">
      <alignment horizontal="center" vertical="top" wrapText="1"/>
    </xf>
    <xf numFmtId="0" fontId="17" fillId="0" borderId="10" xfId="0" applyFont="1" applyBorder="1" applyAlignment="1">
      <alignment horizontal="center" vertical="top" wrapText="1"/>
    </xf>
    <xf numFmtId="0" fontId="17" fillId="0" borderId="11" xfId="0" applyFont="1" applyBorder="1" applyAlignment="1">
      <alignment horizontal="left" vertical="top" wrapText="1"/>
    </xf>
    <xf numFmtId="0" fontId="17" fillId="0" borderId="1" xfId="0" applyFont="1" applyBorder="1" applyAlignment="1">
      <alignment horizontal="left" vertical="top" wrapText="1"/>
    </xf>
    <xf numFmtId="0" fontId="6" fillId="0" borderId="2" xfId="0" applyFont="1" applyFill="1" applyBorder="1" applyAlignment="1">
      <alignment horizontal="center" vertical="top" wrapText="1"/>
    </xf>
    <xf numFmtId="0" fontId="14" fillId="0" borderId="10" xfId="0" applyFont="1" applyFill="1" applyBorder="1" applyAlignment="1">
      <alignment vertical="top" wrapText="1"/>
    </xf>
    <xf numFmtId="0" fontId="14" fillId="0" borderId="11" xfId="0" applyFont="1" applyFill="1" applyBorder="1" applyAlignment="1">
      <alignment vertical="top" wrapText="1"/>
    </xf>
    <xf numFmtId="0" fontId="14" fillId="0" borderId="1" xfId="0" applyFont="1" applyFill="1" applyBorder="1" applyAlignment="1">
      <alignment vertical="top" wrapText="1"/>
    </xf>
    <xf numFmtId="9" fontId="9" fillId="0" borderId="10" xfId="1" applyFont="1" applyBorder="1" applyAlignment="1">
      <alignment horizontal="center" vertical="top"/>
    </xf>
    <xf numFmtId="9" fontId="9" fillId="0" borderId="1" xfId="1" applyFont="1" applyBorder="1" applyAlignment="1">
      <alignment horizontal="center" vertical="top"/>
    </xf>
    <xf numFmtId="0" fontId="18" fillId="0" borderId="10" xfId="0" applyFont="1" applyBorder="1" applyAlignment="1">
      <alignment horizontal="center"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1" xfId="0" applyFont="1" applyFill="1" applyBorder="1" applyAlignment="1">
      <alignment vertical="top" wrapText="1"/>
    </xf>
    <xf numFmtId="0" fontId="0" fillId="0" borderId="2" xfId="0" applyBorder="1" applyAlignment="1">
      <alignment horizontal="center" vertical="top" wrapText="1"/>
    </xf>
    <xf numFmtId="166" fontId="6" fillId="0" borderId="10" xfId="2" applyNumberFormat="1" applyFont="1" applyFill="1" applyBorder="1" applyAlignment="1">
      <alignment vertical="top" textRotation="90"/>
    </xf>
    <xf numFmtId="166" fontId="6" fillId="0" borderId="11" xfId="2" applyNumberFormat="1" applyFont="1" applyFill="1" applyBorder="1" applyAlignment="1">
      <alignment vertical="top" textRotation="90"/>
    </xf>
    <xf numFmtId="166" fontId="6" fillId="0" borderId="1" xfId="2" applyNumberFormat="1" applyFont="1" applyFill="1" applyBorder="1" applyAlignment="1">
      <alignment vertical="top" textRotation="90"/>
    </xf>
    <xf numFmtId="166" fontId="6" fillId="0" borderId="2" xfId="2" applyNumberFormat="1" applyFont="1" applyFill="1" applyBorder="1" applyAlignment="1">
      <alignment vertical="top" textRotation="90" wrapText="1"/>
    </xf>
    <xf numFmtId="0" fontId="9" fillId="0" borderId="16" xfId="0" applyFont="1" applyBorder="1" applyAlignment="1">
      <alignment vertical="top" wrapText="1"/>
    </xf>
    <xf numFmtId="0" fontId="9" fillId="0" borderId="14" xfId="0" applyFont="1" applyBorder="1" applyAlignment="1">
      <alignment vertical="top" wrapText="1"/>
    </xf>
    <xf numFmtId="0" fontId="6" fillId="0" borderId="2" xfId="0" applyFont="1" applyFill="1" applyBorder="1" applyAlignment="1">
      <alignment horizontal="center" vertical="top" textRotation="90" wrapText="1"/>
    </xf>
    <xf numFmtId="0" fontId="6" fillId="0" borderId="2" xfId="0" applyFont="1" applyFill="1" applyBorder="1" applyAlignment="1">
      <alignment vertical="top" textRotation="90" wrapText="1"/>
    </xf>
    <xf numFmtId="0" fontId="8" fillId="0" borderId="22" xfId="0" applyFont="1" applyFill="1" applyBorder="1" applyAlignment="1">
      <alignment horizontal="center" vertical="center" wrapText="1"/>
    </xf>
    <xf numFmtId="0" fontId="8" fillId="0" borderId="5" xfId="0" applyFont="1" applyFill="1" applyBorder="1" applyAlignment="1">
      <alignment horizontal="center" vertical="center" wrapText="1"/>
    </xf>
    <xf numFmtId="164" fontId="6" fillId="0" borderId="10" xfId="2" applyFont="1" applyFill="1" applyBorder="1" applyAlignment="1">
      <alignment vertical="top" textRotation="90" wrapText="1"/>
    </xf>
    <xf numFmtId="164" fontId="6" fillId="0" borderId="11" xfId="2" applyFont="1" applyFill="1" applyBorder="1" applyAlignment="1">
      <alignment vertical="top" textRotation="90" wrapText="1"/>
    </xf>
    <xf numFmtId="164" fontId="6" fillId="0" borderId="1" xfId="2" applyFont="1" applyFill="1" applyBorder="1" applyAlignment="1">
      <alignment vertical="top" textRotation="90" wrapText="1"/>
    </xf>
    <xf numFmtId="10" fontId="9" fillId="0" borderId="11" xfId="0" applyNumberFormat="1" applyFont="1" applyBorder="1" applyAlignment="1">
      <alignment horizontal="center" vertical="top"/>
    </xf>
    <xf numFmtId="10" fontId="9" fillId="0" borderId="1" xfId="0" applyNumberFormat="1" applyFont="1" applyBorder="1" applyAlignment="1">
      <alignment horizontal="center" vertical="top"/>
    </xf>
    <xf numFmtId="10" fontId="9" fillId="0" borderId="10" xfId="0" applyNumberFormat="1" applyFont="1" applyBorder="1" applyAlignment="1">
      <alignment horizontal="center" vertical="top"/>
    </xf>
    <xf numFmtId="10" fontId="9" fillId="0" borderId="10" xfId="0" applyNumberFormat="1" applyFont="1" applyFill="1" applyBorder="1" applyAlignment="1">
      <alignment horizontal="center" vertical="top"/>
    </xf>
    <xf numFmtId="10" fontId="9" fillId="0" borderId="11" xfId="0" applyNumberFormat="1" applyFont="1" applyFill="1" applyBorder="1" applyAlignment="1">
      <alignment horizontal="center" vertical="top"/>
    </xf>
    <xf numFmtId="10" fontId="9" fillId="0" borderId="1" xfId="0" applyNumberFormat="1" applyFont="1" applyFill="1" applyBorder="1" applyAlignment="1">
      <alignment horizontal="center" vertical="top"/>
    </xf>
    <xf numFmtId="9" fontId="9" fillId="0" borderId="11" xfId="1" applyFont="1" applyBorder="1" applyAlignment="1">
      <alignment horizontal="center" vertical="top"/>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10"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2" xfId="0" applyFont="1" applyFill="1" applyBorder="1" applyAlignment="1">
      <alignment vertical="center" wrapText="1"/>
    </xf>
    <xf numFmtId="0" fontId="4" fillId="0" borderId="11" xfId="0" applyFont="1" applyFill="1" applyBorder="1" applyAlignment="1">
      <alignment vertical="center" wrapText="1"/>
    </xf>
    <xf numFmtId="0" fontId="4" fillId="0" borderId="1" xfId="0" applyFont="1" applyFill="1" applyBorder="1" applyAlignment="1">
      <alignment vertical="center" wrapText="1"/>
    </xf>
    <xf numFmtId="1" fontId="4" fillId="0" borderId="2" xfId="0" applyNumberFormat="1"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165" fontId="4" fillId="0" borderId="10"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2" fontId="4" fillId="0" borderId="2" xfId="1" applyNumberFormat="1" applyFont="1" applyFill="1" applyBorder="1" applyAlignment="1">
      <alignment horizontal="center" vertical="center"/>
    </xf>
    <xf numFmtId="0" fontId="0" fillId="0" borderId="0" xfId="0" applyAlignment="1">
      <alignment horizontal="center" vertical="center"/>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82"/>
  <sheetViews>
    <sheetView tabSelected="1" zoomScale="90" zoomScaleNormal="90" zoomScaleSheetLayoutView="82" workbookViewId="0">
      <selection sqref="A1:BB1"/>
    </sheetView>
  </sheetViews>
  <sheetFormatPr baseColWidth="10" defaultColWidth="16.140625" defaultRowHeight="15" x14ac:dyDescent="0.25"/>
  <cols>
    <col min="1" max="1" width="23.7109375" customWidth="1"/>
    <col min="2" max="2" width="27.28515625" customWidth="1"/>
    <col min="3" max="3" width="26.5703125" customWidth="1"/>
    <col min="4" max="4" width="13.7109375" customWidth="1"/>
    <col min="5" max="5" width="27.42578125" customWidth="1"/>
    <col min="6" max="6" width="26.140625" customWidth="1"/>
    <col min="7" max="7" width="25.42578125" customWidth="1"/>
    <col min="8" max="8" width="26.7109375" customWidth="1"/>
    <col min="9" max="9" width="25.140625" customWidth="1"/>
    <col min="10" max="10" width="22.42578125" customWidth="1"/>
    <col min="11" max="11" width="22.85546875" customWidth="1"/>
    <col min="12" max="12" width="23.85546875" customWidth="1"/>
    <col min="13" max="13" width="27" customWidth="1"/>
    <col min="14" max="14" width="17.42578125" customWidth="1"/>
    <col min="15" max="15" width="21.140625" customWidth="1"/>
    <col min="16" max="16" width="23" customWidth="1"/>
    <col min="17" max="17" width="25.7109375" customWidth="1"/>
    <col min="18" max="18" width="22" customWidth="1"/>
    <col min="19" max="19" width="23.85546875" customWidth="1"/>
    <col min="20" max="20" width="27.28515625" customWidth="1"/>
    <col min="21" max="21" width="28.42578125" customWidth="1"/>
    <col min="22" max="22" width="26.7109375" customWidth="1"/>
    <col min="23" max="23" width="22.28515625" customWidth="1"/>
    <col min="24" max="24" width="11.28515625" customWidth="1"/>
    <col min="25" max="25" width="20" customWidth="1"/>
    <col min="26" max="26" width="19.42578125" customWidth="1"/>
    <col min="27" max="27" width="21.85546875" customWidth="1"/>
    <col min="28" max="28" width="25.28515625" customWidth="1"/>
    <col min="29" max="29" width="26.5703125" customWidth="1"/>
    <col min="30" max="30" width="29.5703125" customWidth="1"/>
    <col min="31" max="31" width="21.7109375" customWidth="1"/>
    <col min="32" max="32" width="14.140625" customWidth="1"/>
    <col min="33" max="33" width="14.42578125" customWidth="1"/>
    <col min="34" max="34" width="11.85546875" customWidth="1"/>
    <col min="35" max="35" width="18" customWidth="1"/>
    <col min="36" max="36" width="17.85546875" customWidth="1"/>
    <col min="37" max="37" width="25" customWidth="1"/>
    <col min="38" max="38" width="10.5703125" customWidth="1"/>
    <col min="39" max="39" width="17.7109375" customWidth="1"/>
    <col min="40" max="40" width="17.42578125" bestFit="1" customWidth="1"/>
    <col min="44" max="50" width="0" hidden="1" customWidth="1"/>
    <col min="51" max="51" width="24.140625" customWidth="1"/>
  </cols>
  <sheetData>
    <row r="1" spans="1:62" ht="36" customHeight="1" x14ac:dyDescent="0.25">
      <c r="A1" s="372" t="s">
        <v>6</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row>
    <row r="2" spans="1:62" ht="36" customHeight="1" thickBot="1" x14ac:dyDescent="0.3"/>
    <row r="3" spans="1:62" s="4" customFormat="1" ht="54.75" customHeight="1" thickBot="1" x14ac:dyDescent="0.3">
      <c r="A3" s="260" t="s">
        <v>514</v>
      </c>
      <c r="B3" s="239" t="s">
        <v>515</v>
      </c>
      <c r="C3" s="351" t="s">
        <v>516</v>
      </c>
      <c r="D3" s="347" t="s">
        <v>517</v>
      </c>
      <c r="E3" s="239" t="s">
        <v>518</v>
      </c>
      <c r="F3" s="260" t="s">
        <v>519</v>
      </c>
      <c r="G3" s="260" t="s">
        <v>520</v>
      </c>
      <c r="H3" s="260" t="s">
        <v>521</v>
      </c>
      <c r="I3" s="260" t="s">
        <v>522</v>
      </c>
      <c r="J3" s="239" t="s">
        <v>523</v>
      </c>
      <c r="K3" s="252" t="s">
        <v>492</v>
      </c>
      <c r="L3" s="254" t="s">
        <v>493</v>
      </c>
      <c r="M3" s="256" t="s">
        <v>494</v>
      </c>
      <c r="N3" s="256" t="s">
        <v>495</v>
      </c>
      <c r="O3" s="258" t="s">
        <v>496</v>
      </c>
      <c r="P3" s="260" t="s">
        <v>497</v>
      </c>
      <c r="Q3" s="239" t="s">
        <v>498</v>
      </c>
      <c r="R3" s="239" t="s">
        <v>499</v>
      </c>
      <c r="S3" s="239" t="s">
        <v>500</v>
      </c>
      <c r="T3" s="241" t="s">
        <v>501</v>
      </c>
      <c r="U3" s="256" t="s">
        <v>502</v>
      </c>
      <c r="V3" s="256" t="s">
        <v>503</v>
      </c>
      <c r="W3" s="256" t="s">
        <v>504</v>
      </c>
      <c r="X3" s="243" t="s">
        <v>524</v>
      </c>
      <c r="Y3" s="243" t="s">
        <v>505</v>
      </c>
      <c r="Z3" s="243" t="s">
        <v>506</v>
      </c>
      <c r="AA3" s="243" t="s">
        <v>507</v>
      </c>
      <c r="AB3" s="243" t="s">
        <v>508</v>
      </c>
      <c r="AC3" s="333" t="s">
        <v>509</v>
      </c>
      <c r="AD3" s="248" t="s">
        <v>510</v>
      </c>
      <c r="AE3" s="248" t="s">
        <v>525</v>
      </c>
      <c r="AF3" s="245" t="s">
        <v>511</v>
      </c>
      <c r="AG3" s="246"/>
      <c r="AH3" s="247"/>
      <c r="AI3" s="248" t="s">
        <v>512</v>
      </c>
      <c r="AJ3" s="248" t="s">
        <v>530</v>
      </c>
      <c r="AK3" s="248" t="s">
        <v>536</v>
      </c>
      <c r="AL3" s="248" t="s">
        <v>531</v>
      </c>
      <c r="AM3" s="248" t="s">
        <v>526</v>
      </c>
      <c r="AN3" s="248" t="s">
        <v>527</v>
      </c>
      <c r="AO3" s="345" t="s">
        <v>528</v>
      </c>
      <c r="AP3" s="345" t="s">
        <v>537</v>
      </c>
      <c r="AQ3" s="262" t="s">
        <v>529</v>
      </c>
      <c r="AR3" s="249" t="s">
        <v>513</v>
      </c>
      <c r="AS3" s="250"/>
      <c r="AT3" s="250"/>
      <c r="AU3" s="250"/>
      <c r="AV3" s="250"/>
      <c r="AW3" s="250"/>
      <c r="AX3" s="251"/>
      <c r="AY3" s="333" t="s">
        <v>532</v>
      </c>
      <c r="AZ3" s="333" t="s">
        <v>533</v>
      </c>
      <c r="BA3" s="333" t="s">
        <v>534</v>
      </c>
      <c r="BB3" s="248" t="s">
        <v>535</v>
      </c>
      <c r="BC3" s="150"/>
      <c r="BD3" s="150"/>
      <c r="BE3" s="150"/>
    </row>
    <row r="4" spans="1:62" s="4" customFormat="1" ht="57" customHeight="1" thickBot="1" x14ac:dyDescent="0.3">
      <c r="A4" s="261"/>
      <c r="B4" s="240"/>
      <c r="C4" s="352"/>
      <c r="D4" s="348"/>
      <c r="E4" s="240"/>
      <c r="F4" s="261"/>
      <c r="G4" s="261"/>
      <c r="H4" s="261"/>
      <c r="I4" s="261"/>
      <c r="J4" s="240"/>
      <c r="K4" s="253"/>
      <c r="L4" s="255"/>
      <c r="M4" s="257"/>
      <c r="N4" s="257"/>
      <c r="O4" s="259"/>
      <c r="P4" s="261"/>
      <c r="Q4" s="240"/>
      <c r="R4" s="240"/>
      <c r="S4" s="240"/>
      <c r="T4" s="242"/>
      <c r="U4" s="257"/>
      <c r="V4" s="257"/>
      <c r="W4" s="257"/>
      <c r="X4" s="244"/>
      <c r="Y4" s="244"/>
      <c r="Z4" s="244"/>
      <c r="AA4" s="244"/>
      <c r="AB4" s="244"/>
      <c r="AC4" s="334"/>
      <c r="AD4" s="248"/>
      <c r="AE4" s="248"/>
      <c r="AF4" s="151" t="s">
        <v>5</v>
      </c>
      <c r="AG4" s="152" t="s">
        <v>4</v>
      </c>
      <c r="AH4" s="153" t="s">
        <v>3</v>
      </c>
      <c r="AI4" s="248"/>
      <c r="AJ4" s="248"/>
      <c r="AK4" s="248"/>
      <c r="AL4" s="248"/>
      <c r="AM4" s="248"/>
      <c r="AN4" s="248"/>
      <c r="AO4" s="346"/>
      <c r="AP4" s="346"/>
      <c r="AQ4" s="263"/>
      <c r="AR4" s="152" t="s">
        <v>2</v>
      </c>
      <c r="AS4" s="152" t="s">
        <v>1</v>
      </c>
      <c r="AT4" s="152" t="s">
        <v>0</v>
      </c>
      <c r="AU4" s="152" t="s">
        <v>317</v>
      </c>
      <c r="AV4" s="152" t="s">
        <v>360</v>
      </c>
      <c r="AW4" s="152" t="s">
        <v>427</v>
      </c>
      <c r="AX4" s="152" t="s">
        <v>460</v>
      </c>
      <c r="AY4" s="334"/>
      <c r="AZ4" s="334" t="s">
        <v>533</v>
      </c>
      <c r="BA4" s="334" t="s">
        <v>533</v>
      </c>
      <c r="BB4" s="248"/>
      <c r="BC4" s="150"/>
      <c r="BD4" s="150"/>
      <c r="BE4" s="150"/>
    </row>
    <row r="5" spans="1:62" s="150" customFormat="1" ht="57" customHeight="1" x14ac:dyDescent="0.25">
      <c r="A5" s="181"/>
      <c r="B5" s="181"/>
      <c r="C5" s="182"/>
      <c r="D5" s="183"/>
      <c r="E5" s="181"/>
      <c r="F5" s="181"/>
      <c r="G5" s="181"/>
      <c r="H5" s="181"/>
      <c r="I5" s="184"/>
      <c r="J5" s="184"/>
      <c r="K5" s="184"/>
      <c r="L5" s="184"/>
      <c r="M5" s="184"/>
      <c r="N5" s="184"/>
      <c r="O5" s="184"/>
      <c r="P5" s="184"/>
      <c r="Q5" s="184"/>
      <c r="R5" s="184"/>
      <c r="S5" s="184"/>
      <c r="T5" s="185"/>
      <c r="U5" s="349"/>
      <c r="V5" s="349"/>
      <c r="W5" s="349"/>
      <c r="X5" s="186"/>
      <c r="Y5" s="186"/>
      <c r="Z5" s="186"/>
      <c r="AA5" s="186"/>
      <c r="AB5" s="186"/>
      <c r="AC5" s="186"/>
      <c r="AD5" s="187"/>
      <c r="AE5" s="350"/>
      <c r="AF5" s="186"/>
      <c r="AG5" s="186"/>
      <c r="AH5" s="186"/>
      <c r="AI5" s="187"/>
      <c r="AJ5" s="171"/>
      <c r="AK5" s="171"/>
      <c r="AL5" s="171"/>
      <c r="AM5" s="179"/>
      <c r="AN5" s="179"/>
      <c r="AO5" s="190"/>
      <c r="AP5" s="191"/>
      <c r="AQ5" s="170"/>
      <c r="AR5" s="186"/>
      <c r="AS5" s="186"/>
      <c r="AT5" s="186"/>
      <c r="AU5" s="186"/>
      <c r="AV5" s="186"/>
      <c r="AW5" s="186"/>
      <c r="AX5" s="186"/>
      <c r="AY5" s="186"/>
      <c r="AZ5" s="186"/>
      <c r="BA5" s="186"/>
      <c r="BB5" s="187"/>
    </row>
    <row r="6" spans="1:62" s="1" customFormat="1" ht="128.25" customHeight="1" x14ac:dyDescent="0.25">
      <c r="A6" s="353" t="s">
        <v>7</v>
      </c>
      <c r="B6" s="353" t="s">
        <v>8</v>
      </c>
      <c r="C6" s="353" t="s">
        <v>9</v>
      </c>
      <c r="D6" s="353" t="s">
        <v>10</v>
      </c>
      <c r="E6" s="353" t="s">
        <v>11</v>
      </c>
      <c r="F6" s="353">
        <v>0</v>
      </c>
      <c r="G6" s="353">
        <v>0</v>
      </c>
      <c r="H6" s="353">
        <v>0</v>
      </c>
      <c r="I6" s="353">
        <v>0</v>
      </c>
      <c r="J6" s="355" t="s">
        <v>65</v>
      </c>
      <c r="K6" s="356" t="s">
        <v>66</v>
      </c>
      <c r="L6" s="3">
        <v>2</v>
      </c>
      <c r="M6" s="141">
        <v>0</v>
      </c>
      <c r="N6" s="141">
        <v>1</v>
      </c>
      <c r="O6" s="141">
        <v>2</v>
      </c>
      <c r="P6" s="141">
        <v>1</v>
      </c>
      <c r="Q6" s="2">
        <v>0</v>
      </c>
      <c r="R6" s="60">
        <v>0</v>
      </c>
      <c r="S6" s="60">
        <v>0</v>
      </c>
      <c r="T6" s="60">
        <v>0</v>
      </c>
      <c r="U6" s="123">
        <f>0</f>
        <v>0</v>
      </c>
      <c r="V6" s="114">
        <f t="shared" ref="V6:V19" si="0">L6+U6</f>
        <v>2</v>
      </c>
      <c r="W6" s="176">
        <f>V6/4</f>
        <v>0.5</v>
      </c>
      <c r="X6" s="163" t="s">
        <v>137</v>
      </c>
      <c r="Y6" s="18" t="s">
        <v>138</v>
      </c>
      <c r="Z6" s="31">
        <v>0</v>
      </c>
      <c r="AA6" s="60">
        <v>0</v>
      </c>
      <c r="AB6" s="60">
        <v>0</v>
      </c>
      <c r="AC6" s="60">
        <v>0</v>
      </c>
      <c r="AD6" s="103">
        <f>0/AH6</f>
        <v>0</v>
      </c>
      <c r="AE6" s="338">
        <f>SUM(AD6:AD11)/(6)</f>
        <v>0.16666666666666666</v>
      </c>
      <c r="AF6" s="135" t="s">
        <v>206</v>
      </c>
      <c r="AG6" s="135">
        <v>2</v>
      </c>
      <c r="AH6" s="135">
        <v>2</v>
      </c>
      <c r="AI6" s="137" t="s">
        <v>274</v>
      </c>
      <c r="AJ6" s="188" t="s">
        <v>461</v>
      </c>
      <c r="AK6" s="189" t="s">
        <v>462</v>
      </c>
      <c r="AL6" s="155" t="s">
        <v>277</v>
      </c>
      <c r="AM6" s="177">
        <v>250000000</v>
      </c>
      <c r="AN6" s="177">
        <v>250000000</v>
      </c>
      <c r="AO6" s="156">
        <f>AN6/AM6</f>
        <v>1</v>
      </c>
      <c r="AP6" s="302">
        <f>300000000/300000000</f>
        <v>1</v>
      </c>
      <c r="AQ6" s="162" t="s">
        <v>447</v>
      </c>
      <c r="AR6" s="269" t="s">
        <v>276</v>
      </c>
      <c r="AS6" s="299" t="s">
        <v>277</v>
      </c>
      <c r="AT6" s="325">
        <v>300000000</v>
      </c>
      <c r="AU6" s="325">
        <v>165000000</v>
      </c>
      <c r="AV6" s="325">
        <v>250000000</v>
      </c>
      <c r="AW6" s="325">
        <f>250000000+50000000</f>
        <v>300000000</v>
      </c>
      <c r="AX6" s="325">
        <f>250000000+50000000</f>
        <v>300000000</v>
      </c>
      <c r="AY6" s="44" t="s">
        <v>347</v>
      </c>
      <c r="AZ6" s="2"/>
      <c r="BA6" s="142" t="s">
        <v>416</v>
      </c>
      <c r="BB6" s="2"/>
      <c r="BC6" s="13"/>
      <c r="BD6" s="13"/>
      <c r="BE6" s="13"/>
      <c r="BF6" s="13"/>
      <c r="BG6" s="13"/>
      <c r="BH6" s="13"/>
      <c r="BI6" s="13"/>
      <c r="BJ6" s="13"/>
    </row>
    <row r="7" spans="1:62" ht="123.75" customHeight="1" x14ac:dyDescent="0.25">
      <c r="A7" s="354"/>
      <c r="B7" s="354"/>
      <c r="C7" s="354"/>
      <c r="D7" s="354"/>
      <c r="E7" s="354"/>
      <c r="F7" s="354"/>
      <c r="G7" s="354"/>
      <c r="H7" s="354"/>
      <c r="I7" s="354"/>
      <c r="J7" s="355"/>
      <c r="K7" s="5" t="s">
        <v>67</v>
      </c>
      <c r="L7" s="3">
        <v>1</v>
      </c>
      <c r="M7" s="23">
        <v>0</v>
      </c>
      <c r="N7" s="22">
        <v>1</v>
      </c>
      <c r="O7" s="22">
        <v>1</v>
      </c>
      <c r="P7" s="22">
        <v>1</v>
      </c>
      <c r="Q7" s="26">
        <v>0</v>
      </c>
      <c r="R7" s="61">
        <v>0</v>
      </c>
      <c r="S7" s="61">
        <v>0</v>
      </c>
      <c r="T7" s="61">
        <v>0</v>
      </c>
      <c r="U7" s="124">
        <f>0</f>
        <v>0</v>
      </c>
      <c r="V7" s="115">
        <f t="shared" si="0"/>
        <v>1</v>
      </c>
      <c r="W7" s="128">
        <f>V7/3</f>
        <v>0.33333333333333331</v>
      </c>
      <c r="X7" s="163"/>
      <c r="Y7" s="8" t="s">
        <v>139</v>
      </c>
      <c r="Z7" s="32">
        <v>0</v>
      </c>
      <c r="AA7" s="61">
        <v>0</v>
      </c>
      <c r="AB7" s="61">
        <v>0</v>
      </c>
      <c r="AC7" s="61">
        <v>0</v>
      </c>
      <c r="AD7" s="104">
        <f>0/AH7</f>
        <v>0</v>
      </c>
      <c r="AE7" s="338"/>
      <c r="AF7" s="8" t="s">
        <v>207</v>
      </c>
      <c r="AG7" s="8">
        <v>1</v>
      </c>
      <c r="AH7" s="8">
        <v>1</v>
      </c>
      <c r="AI7" s="29" t="s">
        <v>274</v>
      </c>
      <c r="AJ7" s="311" t="s">
        <v>463</v>
      </c>
      <c r="AK7" s="311" t="s">
        <v>464</v>
      </c>
      <c r="AL7" s="165" t="s">
        <v>277</v>
      </c>
      <c r="AM7" s="179">
        <v>50000000</v>
      </c>
      <c r="AN7" s="179">
        <v>50000000</v>
      </c>
      <c r="AO7" s="194">
        <f>AN7/AM7</f>
        <v>1</v>
      </c>
      <c r="AP7" s="302"/>
      <c r="AQ7" s="163"/>
      <c r="AR7" s="297"/>
      <c r="AS7" s="297"/>
      <c r="AT7" s="326"/>
      <c r="AU7" s="326"/>
      <c r="AV7" s="326"/>
      <c r="AW7" s="326"/>
      <c r="AX7" s="326"/>
      <c r="AY7" s="45" t="s">
        <v>348</v>
      </c>
      <c r="AZ7" s="12"/>
      <c r="BA7" s="74" t="s">
        <v>415</v>
      </c>
      <c r="BB7" s="12"/>
    </row>
    <row r="8" spans="1:62" ht="80.25" customHeight="1" x14ac:dyDescent="0.25">
      <c r="A8" s="354"/>
      <c r="B8" s="354"/>
      <c r="C8" s="354"/>
      <c r="D8" s="354"/>
      <c r="E8" s="354"/>
      <c r="F8" s="354"/>
      <c r="G8" s="354"/>
      <c r="H8" s="354"/>
      <c r="I8" s="354"/>
      <c r="J8" s="355"/>
      <c r="K8" s="5" t="s">
        <v>68</v>
      </c>
      <c r="L8" s="3">
        <v>2</v>
      </c>
      <c r="M8" s="23">
        <v>1</v>
      </c>
      <c r="N8" s="22">
        <v>1</v>
      </c>
      <c r="O8" s="22">
        <v>1</v>
      </c>
      <c r="P8" s="22">
        <v>1</v>
      </c>
      <c r="Q8" s="26">
        <v>0</v>
      </c>
      <c r="R8" s="61">
        <v>0</v>
      </c>
      <c r="S8" s="61">
        <v>0</v>
      </c>
      <c r="T8" s="61">
        <v>0</v>
      </c>
      <c r="U8" s="115">
        <f>0</f>
        <v>0</v>
      </c>
      <c r="V8" s="115">
        <f t="shared" si="0"/>
        <v>2</v>
      </c>
      <c r="W8" s="129">
        <f>V8/4</f>
        <v>0.5</v>
      </c>
      <c r="X8" s="163"/>
      <c r="Y8" s="8" t="s">
        <v>140</v>
      </c>
      <c r="Z8" s="32">
        <v>0</v>
      </c>
      <c r="AA8" s="61">
        <v>0</v>
      </c>
      <c r="AB8" s="61">
        <v>0</v>
      </c>
      <c r="AC8" s="61">
        <v>0</v>
      </c>
      <c r="AD8" s="104">
        <f>0/AH8</f>
        <v>0</v>
      </c>
      <c r="AE8" s="338"/>
      <c r="AF8" s="8" t="s">
        <v>208</v>
      </c>
      <c r="AG8" s="9">
        <v>2</v>
      </c>
      <c r="AH8" s="9">
        <v>1</v>
      </c>
      <c r="AI8" s="29" t="s">
        <v>274</v>
      </c>
      <c r="AJ8" s="309"/>
      <c r="AK8" s="309"/>
      <c r="AL8" s="164"/>
      <c r="AM8" s="177"/>
      <c r="AN8" s="177"/>
      <c r="AO8" s="178"/>
      <c r="AP8" s="302"/>
      <c r="AQ8" s="163"/>
      <c r="AR8" s="297"/>
      <c r="AS8" s="297"/>
      <c r="AT8" s="326"/>
      <c r="AU8" s="326"/>
      <c r="AV8" s="326"/>
      <c r="AW8" s="326"/>
      <c r="AX8" s="326"/>
      <c r="AY8" s="44" t="s">
        <v>346</v>
      </c>
      <c r="AZ8" s="62" t="s">
        <v>387</v>
      </c>
      <c r="BA8" s="62" t="s">
        <v>421</v>
      </c>
      <c r="BB8" s="12"/>
    </row>
    <row r="9" spans="1:62" ht="84.75" customHeight="1" x14ac:dyDescent="0.25">
      <c r="A9" s="354"/>
      <c r="B9" s="354"/>
      <c r="C9" s="354"/>
      <c r="D9" s="354"/>
      <c r="E9" s="354"/>
      <c r="F9" s="354"/>
      <c r="G9" s="354"/>
      <c r="H9" s="354"/>
      <c r="I9" s="354"/>
      <c r="J9" s="355"/>
      <c r="K9" s="94" t="s">
        <v>69</v>
      </c>
      <c r="L9" s="15">
        <v>14</v>
      </c>
      <c r="M9" s="23">
        <v>0</v>
      </c>
      <c r="N9" s="22">
        <v>8</v>
      </c>
      <c r="O9" s="22">
        <v>9</v>
      </c>
      <c r="P9" s="22">
        <v>8</v>
      </c>
      <c r="Q9" s="26">
        <v>0</v>
      </c>
      <c r="R9" s="61">
        <v>0</v>
      </c>
      <c r="S9" s="82">
        <v>0</v>
      </c>
      <c r="T9" s="82">
        <v>0</v>
      </c>
      <c r="U9" s="116">
        <f>0</f>
        <v>0</v>
      </c>
      <c r="V9" s="116">
        <f t="shared" si="0"/>
        <v>14</v>
      </c>
      <c r="W9" s="130">
        <f>V9/25</f>
        <v>0.56000000000000005</v>
      </c>
      <c r="X9" s="163"/>
      <c r="Y9" s="34" t="s">
        <v>141</v>
      </c>
      <c r="Z9" s="32">
        <v>0</v>
      </c>
      <c r="AA9" s="61">
        <v>0</v>
      </c>
      <c r="AB9" s="82">
        <v>0</v>
      </c>
      <c r="AC9" s="82">
        <v>0</v>
      </c>
      <c r="AD9" s="105">
        <f>0/AH9</f>
        <v>0</v>
      </c>
      <c r="AE9" s="338"/>
      <c r="AF9" s="34" t="s">
        <v>209</v>
      </c>
      <c r="AG9" s="8">
        <v>14</v>
      </c>
      <c r="AH9" s="8">
        <v>11</v>
      </c>
      <c r="AI9" s="29" t="s">
        <v>274</v>
      </c>
      <c r="AJ9" s="309"/>
      <c r="AK9" s="309"/>
      <c r="AL9" s="163"/>
      <c r="AM9" s="177"/>
      <c r="AN9" s="177"/>
      <c r="AO9" s="178"/>
      <c r="AP9" s="302"/>
      <c r="AQ9" s="163"/>
      <c r="AR9" s="297"/>
      <c r="AS9" s="297"/>
      <c r="AT9" s="326"/>
      <c r="AU9" s="326"/>
      <c r="AV9" s="326"/>
      <c r="AW9" s="326"/>
      <c r="AX9" s="326"/>
      <c r="AY9" s="46"/>
      <c r="AZ9" s="63" t="s">
        <v>389</v>
      </c>
      <c r="BA9" s="12"/>
      <c r="BB9" s="12"/>
    </row>
    <row r="10" spans="1:62" ht="81.75" customHeight="1" x14ac:dyDescent="0.25">
      <c r="A10" s="354"/>
      <c r="B10" s="354"/>
      <c r="C10" s="354"/>
      <c r="D10" s="354"/>
      <c r="E10" s="354"/>
      <c r="F10" s="354"/>
      <c r="G10" s="354"/>
      <c r="H10" s="354"/>
      <c r="I10" s="354"/>
      <c r="J10" s="355"/>
      <c r="K10" s="5" t="s">
        <v>70</v>
      </c>
      <c r="L10" s="15">
        <v>10</v>
      </c>
      <c r="M10" s="23">
        <v>0</v>
      </c>
      <c r="N10" s="22">
        <v>9</v>
      </c>
      <c r="O10" s="22">
        <v>9</v>
      </c>
      <c r="P10" s="22">
        <v>8</v>
      </c>
      <c r="Q10" s="26">
        <v>0</v>
      </c>
      <c r="R10" s="61">
        <v>0</v>
      </c>
      <c r="S10" s="82">
        <v>0</v>
      </c>
      <c r="T10" s="82">
        <v>0</v>
      </c>
      <c r="U10" s="116">
        <f>0</f>
        <v>0</v>
      </c>
      <c r="V10" s="116">
        <f t="shared" si="0"/>
        <v>10</v>
      </c>
      <c r="W10" s="130">
        <f>V10/26</f>
        <v>0.38461538461538464</v>
      </c>
      <c r="X10" s="163"/>
      <c r="Y10" s="8" t="s">
        <v>142</v>
      </c>
      <c r="Z10" s="32">
        <v>0</v>
      </c>
      <c r="AA10" s="61">
        <v>0</v>
      </c>
      <c r="AB10" s="82">
        <v>0</v>
      </c>
      <c r="AC10" s="82">
        <v>0</v>
      </c>
      <c r="AD10" s="82">
        <f>0/AH10</f>
        <v>0</v>
      </c>
      <c r="AE10" s="338"/>
      <c r="AF10" s="8" t="s">
        <v>210</v>
      </c>
      <c r="AG10" s="8">
        <v>10</v>
      </c>
      <c r="AH10" s="8">
        <v>9</v>
      </c>
      <c r="AI10" s="29" t="s">
        <v>274</v>
      </c>
      <c r="AJ10" s="309"/>
      <c r="AK10" s="309"/>
      <c r="AL10" s="163"/>
      <c r="AM10" s="177"/>
      <c r="AN10" s="177"/>
      <c r="AO10" s="178"/>
      <c r="AP10" s="302"/>
      <c r="AQ10" s="163"/>
      <c r="AR10" s="297"/>
      <c r="AS10" s="297"/>
      <c r="AT10" s="326"/>
      <c r="AU10" s="326"/>
      <c r="AV10" s="326"/>
      <c r="AW10" s="326"/>
      <c r="AX10" s="326"/>
      <c r="AY10" s="44" t="s">
        <v>350</v>
      </c>
      <c r="AZ10" s="63" t="s">
        <v>388</v>
      </c>
      <c r="BA10" s="12"/>
      <c r="BB10" s="12"/>
    </row>
    <row r="11" spans="1:62" ht="79.5" customHeight="1" x14ac:dyDescent="0.25">
      <c r="A11" s="354"/>
      <c r="B11" s="354"/>
      <c r="C11" s="354"/>
      <c r="D11" s="354"/>
      <c r="E11" s="354"/>
      <c r="F11" s="354"/>
      <c r="G11" s="354"/>
      <c r="H11" s="354"/>
      <c r="I11" s="354"/>
      <c r="J11" s="353"/>
      <c r="K11" s="5" t="s">
        <v>71</v>
      </c>
      <c r="L11" s="15">
        <v>5</v>
      </c>
      <c r="M11" s="23">
        <v>0</v>
      </c>
      <c r="N11" s="22">
        <v>5</v>
      </c>
      <c r="O11" s="22">
        <v>5</v>
      </c>
      <c r="P11" s="22">
        <v>5</v>
      </c>
      <c r="Q11" s="26">
        <v>0</v>
      </c>
      <c r="R11" s="61">
        <v>8</v>
      </c>
      <c r="S11" s="61">
        <v>1</v>
      </c>
      <c r="T11" s="61">
        <v>0</v>
      </c>
      <c r="U11" s="115">
        <f>R11+S11</f>
        <v>9</v>
      </c>
      <c r="V11" s="115">
        <f t="shared" si="0"/>
        <v>14</v>
      </c>
      <c r="W11" s="128">
        <f>V11/15</f>
        <v>0.93333333333333335</v>
      </c>
      <c r="X11" s="163"/>
      <c r="Y11" s="8" t="s">
        <v>143</v>
      </c>
      <c r="Z11" s="32">
        <v>0</v>
      </c>
      <c r="AA11" s="61">
        <v>8</v>
      </c>
      <c r="AB11" s="61">
        <v>1</v>
      </c>
      <c r="AC11" s="61">
        <v>0</v>
      </c>
      <c r="AD11" s="104">
        <f>100%</f>
        <v>1</v>
      </c>
      <c r="AE11" s="339"/>
      <c r="AF11" s="8" t="s">
        <v>211</v>
      </c>
      <c r="AG11" s="8">
        <v>5</v>
      </c>
      <c r="AH11" s="8">
        <v>5</v>
      </c>
      <c r="AI11" s="29" t="s">
        <v>274</v>
      </c>
      <c r="AJ11" s="309"/>
      <c r="AK11" s="309"/>
      <c r="AL11" s="163"/>
      <c r="AM11" s="177"/>
      <c r="AN11" s="177"/>
      <c r="AO11" s="178"/>
      <c r="AP11" s="302"/>
      <c r="AQ11" s="163"/>
      <c r="AR11" s="298"/>
      <c r="AS11" s="298"/>
      <c r="AT11" s="327"/>
      <c r="AU11" s="327"/>
      <c r="AV11" s="327"/>
      <c r="AW11" s="327"/>
      <c r="AX11" s="327"/>
      <c r="AY11" s="45" t="s">
        <v>349</v>
      </c>
      <c r="AZ11" s="63" t="s">
        <v>390</v>
      </c>
      <c r="BA11" s="12" t="s">
        <v>405</v>
      </c>
      <c r="BB11" s="12"/>
    </row>
    <row r="12" spans="1:62" ht="79.5" customHeight="1" x14ac:dyDescent="0.25">
      <c r="A12" s="354"/>
      <c r="B12" s="354"/>
      <c r="C12" s="354"/>
      <c r="D12" s="157"/>
      <c r="E12" s="157"/>
      <c r="F12" s="157"/>
      <c r="G12" s="157"/>
      <c r="H12" s="157"/>
      <c r="I12" s="157"/>
      <c r="J12" s="158"/>
      <c r="K12" s="157"/>
      <c r="L12" s="15"/>
      <c r="M12" s="23"/>
      <c r="N12" s="22"/>
      <c r="O12" s="22"/>
      <c r="P12" s="22"/>
      <c r="Q12" s="26"/>
      <c r="R12" s="61"/>
      <c r="S12" s="61"/>
      <c r="T12" s="61"/>
      <c r="U12" s="115"/>
      <c r="V12" s="115"/>
      <c r="W12" s="128"/>
      <c r="X12" s="163"/>
      <c r="Y12" s="161"/>
      <c r="Z12" s="32"/>
      <c r="AA12" s="61"/>
      <c r="AB12" s="61"/>
      <c r="AC12" s="61"/>
      <c r="AD12" s="104"/>
      <c r="AE12" s="166"/>
      <c r="AF12" s="161"/>
      <c r="AG12" s="161"/>
      <c r="AH12" s="161"/>
      <c r="AI12" s="165"/>
      <c r="AJ12" s="167"/>
      <c r="AK12" s="167"/>
      <c r="AL12" s="165"/>
      <c r="AM12" s="232"/>
      <c r="AN12" s="232"/>
      <c r="AO12" s="180"/>
      <c r="AP12" s="180"/>
      <c r="AQ12" s="163"/>
      <c r="AR12" s="160"/>
      <c r="AS12" s="160"/>
      <c r="AT12" s="159"/>
      <c r="AU12" s="159"/>
      <c r="AV12" s="159"/>
      <c r="AW12" s="159"/>
      <c r="AX12" s="159"/>
      <c r="AY12" s="45"/>
      <c r="AZ12" s="63"/>
      <c r="BA12" s="12"/>
      <c r="BB12" s="12"/>
    </row>
    <row r="13" spans="1:62" ht="166.5" customHeight="1" x14ac:dyDescent="0.25">
      <c r="A13" s="354"/>
      <c r="B13" s="354"/>
      <c r="C13" s="354"/>
      <c r="D13" s="283" t="s">
        <v>12</v>
      </c>
      <c r="E13" s="283" t="s">
        <v>13</v>
      </c>
      <c r="F13" s="283">
        <v>0</v>
      </c>
      <c r="G13" s="283">
        <v>0</v>
      </c>
      <c r="H13" s="283">
        <v>0</v>
      </c>
      <c r="I13" s="283">
        <v>0</v>
      </c>
      <c r="J13" s="283" t="s">
        <v>12</v>
      </c>
      <c r="K13" s="5" t="s">
        <v>72</v>
      </c>
      <c r="L13" s="15">
        <v>0</v>
      </c>
      <c r="M13" s="23">
        <v>0</v>
      </c>
      <c r="N13" s="22">
        <v>0.33</v>
      </c>
      <c r="O13" s="22">
        <v>0.33</v>
      </c>
      <c r="P13" s="22">
        <v>0.33</v>
      </c>
      <c r="Q13" s="12">
        <v>0</v>
      </c>
      <c r="R13" s="61">
        <v>0</v>
      </c>
      <c r="S13" s="61">
        <v>0</v>
      </c>
      <c r="T13" s="61">
        <v>0</v>
      </c>
      <c r="U13" s="115">
        <f>0</f>
        <v>0</v>
      </c>
      <c r="V13" s="115">
        <f t="shared" si="0"/>
        <v>0</v>
      </c>
      <c r="W13" s="129">
        <f>V13/1</f>
        <v>0</v>
      </c>
      <c r="X13" s="163"/>
      <c r="Y13" s="8" t="s">
        <v>144</v>
      </c>
      <c r="Z13" s="35">
        <v>0</v>
      </c>
      <c r="AA13" s="61">
        <v>0</v>
      </c>
      <c r="AB13" s="61">
        <v>0</v>
      </c>
      <c r="AC13" s="61">
        <v>0</v>
      </c>
      <c r="AD13" s="104">
        <f>0/(0.33)</f>
        <v>0</v>
      </c>
      <c r="AE13" s="340">
        <f>SUM(AD13:AD16)/(4)</f>
        <v>0.33333333333333331</v>
      </c>
      <c r="AF13" s="8" t="s">
        <v>212</v>
      </c>
      <c r="AG13" s="8">
        <v>0</v>
      </c>
      <c r="AH13" s="8" t="s">
        <v>213</v>
      </c>
      <c r="AI13" s="29" t="s">
        <v>274</v>
      </c>
      <c r="AJ13" s="143" t="s">
        <v>465</v>
      </c>
      <c r="AK13" s="143" t="s">
        <v>466</v>
      </c>
      <c r="AL13" s="165" t="s">
        <v>277</v>
      </c>
      <c r="AM13" s="179">
        <v>150000000</v>
      </c>
      <c r="AN13" s="165">
        <v>0</v>
      </c>
      <c r="AO13" s="180">
        <f>AN13/AM13</f>
        <v>0</v>
      </c>
      <c r="AP13" s="302">
        <f>AN13/AM13</f>
        <v>0</v>
      </c>
      <c r="AQ13" s="163"/>
      <c r="AR13" s="269" t="s">
        <v>278</v>
      </c>
      <c r="AS13" s="269" t="s">
        <v>277</v>
      </c>
      <c r="AT13" s="267">
        <v>150000000</v>
      </c>
      <c r="AU13" s="269">
        <v>0</v>
      </c>
      <c r="AV13" s="269">
        <v>0</v>
      </c>
      <c r="AW13" s="269">
        <v>0</v>
      </c>
      <c r="AX13" s="269">
        <v>0</v>
      </c>
      <c r="AY13" s="47"/>
      <c r="AZ13" s="12"/>
      <c r="BA13" s="12"/>
      <c r="BB13" s="12"/>
    </row>
    <row r="14" spans="1:62" ht="90.75" customHeight="1" x14ac:dyDescent="0.25">
      <c r="A14" s="354"/>
      <c r="B14" s="354"/>
      <c r="C14" s="354"/>
      <c r="D14" s="283"/>
      <c r="E14" s="283"/>
      <c r="F14" s="283"/>
      <c r="G14" s="283"/>
      <c r="H14" s="283"/>
      <c r="I14" s="283"/>
      <c r="J14" s="283"/>
      <c r="K14" s="5" t="s">
        <v>73</v>
      </c>
      <c r="L14" s="15">
        <v>0</v>
      </c>
      <c r="M14" s="20">
        <v>0</v>
      </c>
      <c r="N14" s="20">
        <v>1</v>
      </c>
      <c r="O14" s="20">
        <v>2</v>
      </c>
      <c r="P14" s="20">
        <v>1</v>
      </c>
      <c r="Q14" s="12">
        <v>0</v>
      </c>
      <c r="R14" s="61">
        <v>0</v>
      </c>
      <c r="S14" s="82">
        <v>0</v>
      </c>
      <c r="T14" s="82">
        <v>0</v>
      </c>
      <c r="U14" s="116">
        <f>0</f>
        <v>0</v>
      </c>
      <c r="V14" s="116">
        <f t="shared" si="0"/>
        <v>0</v>
      </c>
      <c r="W14" s="131">
        <f>0%</f>
        <v>0</v>
      </c>
      <c r="X14" s="163"/>
      <c r="Y14" s="8" t="s">
        <v>145</v>
      </c>
      <c r="Z14" s="35">
        <v>0</v>
      </c>
      <c r="AA14" s="61">
        <v>0</v>
      </c>
      <c r="AB14" s="82">
        <v>0</v>
      </c>
      <c r="AC14" s="82">
        <v>0</v>
      </c>
      <c r="AD14" s="105">
        <f>0/AH14</f>
        <v>0</v>
      </c>
      <c r="AE14" s="338"/>
      <c r="AF14" s="77" t="s">
        <v>214</v>
      </c>
      <c r="AG14" s="8">
        <v>0</v>
      </c>
      <c r="AH14" s="8">
        <v>3</v>
      </c>
      <c r="AI14" s="29" t="s">
        <v>274</v>
      </c>
      <c r="AJ14" s="143"/>
      <c r="AK14" s="143"/>
      <c r="AL14" s="165"/>
      <c r="AM14" s="165"/>
      <c r="AN14" s="165"/>
      <c r="AO14" s="180"/>
      <c r="AP14" s="302"/>
      <c r="AQ14" s="163"/>
      <c r="AR14" s="272"/>
      <c r="AS14" s="272"/>
      <c r="AT14" s="268"/>
      <c r="AU14" s="272"/>
      <c r="AV14" s="272"/>
      <c r="AW14" s="272"/>
      <c r="AX14" s="272"/>
      <c r="AY14" s="47" t="s">
        <v>351</v>
      </c>
      <c r="AZ14" s="12"/>
      <c r="BA14" s="63" t="s">
        <v>417</v>
      </c>
      <c r="BB14" s="12"/>
    </row>
    <row r="15" spans="1:62" ht="78.75" customHeight="1" x14ac:dyDescent="0.25">
      <c r="A15" s="354"/>
      <c r="B15" s="354"/>
      <c r="C15" s="354"/>
      <c r="D15" s="283"/>
      <c r="E15" s="283"/>
      <c r="F15" s="283"/>
      <c r="G15" s="283"/>
      <c r="H15" s="283"/>
      <c r="I15" s="283"/>
      <c r="J15" s="283"/>
      <c r="K15" s="5" t="s">
        <v>74</v>
      </c>
      <c r="L15" s="15">
        <v>0</v>
      </c>
      <c r="M15" s="20">
        <v>0</v>
      </c>
      <c r="N15" s="20">
        <v>1</v>
      </c>
      <c r="O15" s="20">
        <v>2</v>
      </c>
      <c r="P15" s="20">
        <v>1</v>
      </c>
      <c r="Q15" s="12">
        <v>0</v>
      </c>
      <c r="R15" s="61">
        <v>1</v>
      </c>
      <c r="S15" s="82">
        <v>0</v>
      </c>
      <c r="T15" s="82">
        <v>0</v>
      </c>
      <c r="U15" s="116">
        <f>R15</f>
        <v>1</v>
      </c>
      <c r="V15" s="116">
        <f t="shared" si="0"/>
        <v>1</v>
      </c>
      <c r="W15" s="116">
        <f>V15/1</f>
        <v>1</v>
      </c>
      <c r="X15" s="163"/>
      <c r="Y15" s="8" t="s">
        <v>146</v>
      </c>
      <c r="Z15" s="35">
        <v>0</v>
      </c>
      <c r="AA15" s="61">
        <v>1</v>
      </c>
      <c r="AB15" s="82">
        <v>0</v>
      </c>
      <c r="AC15" s="82">
        <v>0</v>
      </c>
      <c r="AD15" s="105">
        <f>1/AH15</f>
        <v>0.33333333333333331</v>
      </c>
      <c r="AE15" s="338"/>
      <c r="AF15" s="8" t="s">
        <v>215</v>
      </c>
      <c r="AG15" s="8">
        <v>0</v>
      </c>
      <c r="AH15" s="8">
        <v>3</v>
      </c>
      <c r="AI15" s="29" t="s">
        <v>274</v>
      </c>
      <c r="AJ15" s="143"/>
      <c r="AK15" s="143"/>
      <c r="AL15" s="165"/>
      <c r="AM15" s="165"/>
      <c r="AN15" s="165"/>
      <c r="AO15" s="180"/>
      <c r="AP15" s="302"/>
      <c r="AQ15" s="163"/>
      <c r="AR15" s="272"/>
      <c r="AS15" s="272"/>
      <c r="AT15" s="268"/>
      <c r="AU15" s="272"/>
      <c r="AV15" s="272"/>
      <c r="AW15" s="272"/>
      <c r="AX15" s="272"/>
      <c r="AY15" s="48" t="s">
        <v>352</v>
      </c>
      <c r="AZ15" s="63" t="s">
        <v>391</v>
      </c>
      <c r="BA15" s="35"/>
      <c r="BB15" s="12"/>
    </row>
    <row r="16" spans="1:62" ht="67.5" customHeight="1" x14ac:dyDescent="0.25">
      <c r="A16" s="354"/>
      <c r="B16" s="354"/>
      <c r="C16" s="354"/>
      <c r="D16" s="283"/>
      <c r="E16" s="283"/>
      <c r="F16" s="283"/>
      <c r="G16" s="283"/>
      <c r="H16" s="283"/>
      <c r="I16" s="283"/>
      <c r="J16" s="283"/>
      <c r="K16" s="5" t="s">
        <v>75</v>
      </c>
      <c r="L16" s="15">
        <v>40</v>
      </c>
      <c r="M16" s="20">
        <v>0</v>
      </c>
      <c r="N16" s="20">
        <v>133</v>
      </c>
      <c r="O16" s="20">
        <v>134</v>
      </c>
      <c r="P16" s="20">
        <v>133</v>
      </c>
      <c r="Q16" s="12">
        <v>0</v>
      </c>
      <c r="R16" s="61">
        <v>362</v>
      </c>
      <c r="S16" s="61">
        <v>34</v>
      </c>
      <c r="T16" s="61">
        <v>0</v>
      </c>
      <c r="U16" s="115">
        <f>R16+S16</f>
        <v>396</v>
      </c>
      <c r="V16" s="115">
        <f t="shared" si="0"/>
        <v>436</v>
      </c>
      <c r="W16" s="115">
        <f>100%</f>
        <v>1</v>
      </c>
      <c r="X16" s="163"/>
      <c r="Y16" s="8" t="s">
        <v>147</v>
      </c>
      <c r="Z16" s="35">
        <v>0</v>
      </c>
      <c r="AA16" s="61">
        <v>362</v>
      </c>
      <c r="AB16" s="61">
        <v>34</v>
      </c>
      <c r="AC16" s="61">
        <v>0</v>
      </c>
      <c r="AD16" s="104">
        <f>100%</f>
        <v>1</v>
      </c>
      <c r="AE16" s="339"/>
      <c r="AF16" s="8" t="s">
        <v>216</v>
      </c>
      <c r="AG16" s="8">
        <v>40</v>
      </c>
      <c r="AH16" s="8">
        <v>227</v>
      </c>
      <c r="AI16" s="29" t="s">
        <v>274</v>
      </c>
      <c r="AJ16" s="143"/>
      <c r="AK16" s="143"/>
      <c r="AL16" s="165"/>
      <c r="AM16" s="165"/>
      <c r="AN16" s="165"/>
      <c r="AO16" s="180"/>
      <c r="AP16" s="302"/>
      <c r="AQ16" s="163"/>
      <c r="AR16" s="270"/>
      <c r="AS16" s="270"/>
      <c r="AT16" s="271"/>
      <c r="AU16" s="270"/>
      <c r="AV16" s="270"/>
      <c r="AW16" s="270"/>
      <c r="AX16" s="270"/>
      <c r="AY16" s="48" t="s">
        <v>353</v>
      </c>
      <c r="AZ16" s="48" t="s">
        <v>406</v>
      </c>
      <c r="BA16" s="12"/>
      <c r="BB16" s="12"/>
    </row>
    <row r="17" spans="1:54" ht="84.75" customHeight="1" x14ac:dyDescent="0.25">
      <c r="A17" s="354" t="s">
        <v>14</v>
      </c>
      <c r="B17" s="357" t="s">
        <v>15</v>
      </c>
      <c r="C17" s="357" t="s">
        <v>16</v>
      </c>
      <c r="D17" s="357" t="s">
        <v>17</v>
      </c>
      <c r="E17" s="357" t="s">
        <v>18</v>
      </c>
      <c r="F17" s="357">
        <v>0</v>
      </c>
      <c r="G17" s="357">
        <v>0</v>
      </c>
      <c r="H17" s="357">
        <v>0</v>
      </c>
      <c r="I17" s="357">
        <v>0</v>
      </c>
      <c r="J17" s="357" t="s">
        <v>76</v>
      </c>
      <c r="K17" s="5" t="s">
        <v>77</v>
      </c>
      <c r="L17" s="15">
        <v>20</v>
      </c>
      <c r="M17" s="20">
        <v>2</v>
      </c>
      <c r="N17" s="20">
        <v>16</v>
      </c>
      <c r="O17" s="20">
        <v>16</v>
      </c>
      <c r="P17" s="20">
        <v>16</v>
      </c>
      <c r="Q17" s="12">
        <v>0</v>
      </c>
      <c r="R17" s="61">
        <v>0</v>
      </c>
      <c r="S17" s="61">
        <v>5</v>
      </c>
      <c r="T17" s="61">
        <v>0</v>
      </c>
      <c r="U17" s="115">
        <f>S17</f>
        <v>5</v>
      </c>
      <c r="V17" s="115">
        <f t="shared" si="0"/>
        <v>25</v>
      </c>
      <c r="W17" s="129">
        <f>V17/50</f>
        <v>0.5</v>
      </c>
      <c r="X17" s="163"/>
      <c r="Y17" s="8" t="s">
        <v>148</v>
      </c>
      <c r="Z17" s="35">
        <v>0</v>
      </c>
      <c r="AA17" s="61">
        <v>0</v>
      </c>
      <c r="AB17" s="82">
        <v>0</v>
      </c>
      <c r="AC17" s="61">
        <v>0</v>
      </c>
      <c r="AD17" s="104">
        <f>0/AH17</f>
        <v>0</v>
      </c>
      <c r="AE17" s="340">
        <f>SUM(AD17:AD19)/(3)</f>
        <v>0.28828828828828829</v>
      </c>
      <c r="AF17" s="8" t="s">
        <v>307</v>
      </c>
      <c r="AG17" s="8">
        <v>18</v>
      </c>
      <c r="AH17" s="8">
        <v>16</v>
      </c>
      <c r="AI17" s="29" t="s">
        <v>274</v>
      </c>
      <c r="AJ17" s="312" t="s">
        <v>467</v>
      </c>
      <c r="AK17" s="309" t="s">
        <v>468</v>
      </c>
      <c r="AL17" s="309" t="s">
        <v>277</v>
      </c>
      <c r="AM17" s="277">
        <v>100000000</v>
      </c>
      <c r="AN17" s="277">
        <v>100000000</v>
      </c>
      <c r="AO17" s="279">
        <f>AN17/AM17</f>
        <v>1</v>
      </c>
      <c r="AP17" s="303">
        <f>AN17/AM17</f>
        <v>1</v>
      </c>
      <c r="AQ17" s="163"/>
      <c r="AR17" s="269" t="s">
        <v>279</v>
      </c>
      <c r="AS17" s="269" t="s">
        <v>280</v>
      </c>
      <c r="AT17" s="267">
        <v>100000000</v>
      </c>
      <c r="AU17" s="269">
        <v>0</v>
      </c>
      <c r="AV17" s="269">
        <v>0</v>
      </c>
      <c r="AW17" s="267">
        <v>100000000</v>
      </c>
      <c r="AX17" s="267">
        <v>100000000</v>
      </c>
      <c r="AY17" s="47" t="s">
        <v>351</v>
      </c>
      <c r="AZ17" s="12"/>
      <c r="BA17" s="35"/>
      <c r="BB17" s="63" t="s">
        <v>450</v>
      </c>
    </row>
    <row r="18" spans="1:54" ht="84.75" customHeight="1" x14ac:dyDescent="0.25">
      <c r="A18" s="354"/>
      <c r="B18" s="355"/>
      <c r="C18" s="355"/>
      <c r="D18" s="355"/>
      <c r="E18" s="355"/>
      <c r="F18" s="355"/>
      <c r="G18" s="355"/>
      <c r="H18" s="355"/>
      <c r="I18" s="355"/>
      <c r="J18" s="355"/>
      <c r="K18" s="5" t="s">
        <v>78</v>
      </c>
      <c r="L18" s="15">
        <v>33</v>
      </c>
      <c r="M18" s="20">
        <v>4</v>
      </c>
      <c r="N18" s="20">
        <v>15</v>
      </c>
      <c r="O18" s="20">
        <v>15</v>
      </c>
      <c r="P18" s="20">
        <v>16</v>
      </c>
      <c r="Q18" s="12">
        <v>0</v>
      </c>
      <c r="R18" s="61">
        <v>0</v>
      </c>
      <c r="S18" s="61">
        <v>5</v>
      </c>
      <c r="T18" s="61">
        <v>0</v>
      </c>
      <c r="U18" s="115">
        <f>S18</f>
        <v>5</v>
      </c>
      <c r="V18" s="115">
        <f t="shared" si="0"/>
        <v>38</v>
      </c>
      <c r="W18" s="128">
        <f>V18/50</f>
        <v>0.76</v>
      </c>
      <c r="X18" s="163"/>
      <c r="Y18" s="8" t="s">
        <v>149</v>
      </c>
      <c r="Z18" s="35">
        <v>0</v>
      </c>
      <c r="AA18" s="61">
        <v>0</v>
      </c>
      <c r="AB18" s="61">
        <v>0</v>
      </c>
      <c r="AC18" s="61">
        <v>0</v>
      </c>
      <c r="AD18" s="104">
        <f>0/AH18</f>
        <v>0</v>
      </c>
      <c r="AE18" s="338"/>
      <c r="AF18" s="8" t="s">
        <v>217</v>
      </c>
      <c r="AG18" s="8">
        <v>29</v>
      </c>
      <c r="AH18" s="8">
        <v>15</v>
      </c>
      <c r="AI18" s="29" t="s">
        <v>274</v>
      </c>
      <c r="AJ18" s="312"/>
      <c r="AK18" s="309"/>
      <c r="AL18" s="309"/>
      <c r="AM18" s="277"/>
      <c r="AN18" s="277"/>
      <c r="AO18" s="280"/>
      <c r="AP18" s="304"/>
      <c r="AQ18" s="163"/>
      <c r="AR18" s="272"/>
      <c r="AS18" s="272"/>
      <c r="AT18" s="268"/>
      <c r="AU18" s="272"/>
      <c r="AV18" s="272"/>
      <c r="AW18" s="268"/>
      <c r="AX18" s="268"/>
      <c r="AY18" s="47" t="s">
        <v>351</v>
      </c>
      <c r="AZ18" s="12"/>
      <c r="BA18" s="35"/>
      <c r="BB18" s="98"/>
    </row>
    <row r="19" spans="1:54" ht="90" customHeight="1" x14ac:dyDescent="0.25">
      <c r="A19" s="354"/>
      <c r="B19" s="353"/>
      <c r="C19" s="353"/>
      <c r="D19" s="353"/>
      <c r="E19" s="353"/>
      <c r="F19" s="353"/>
      <c r="G19" s="353"/>
      <c r="H19" s="353"/>
      <c r="I19" s="353"/>
      <c r="J19" s="353"/>
      <c r="K19" s="5" t="s">
        <v>79</v>
      </c>
      <c r="L19" s="15">
        <v>0</v>
      </c>
      <c r="M19" s="20">
        <v>0</v>
      </c>
      <c r="N19" s="20">
        <v>333</v>
      </c>
      <c r="O19" s="20">
        <v>333</v>
      </c>
      <c r="P19" s="20">
        <v>334</v>
      </c>
      <c r="Q19" s="12">
        <v>0</v>
      </c>
      <c r="R19" s="61">
        <v>208</v>
      </c>
      <c r="S19" s="61">
        <v>368</v>
      </c>
      <c r="T19" s="61">
        <v>0</v>
      </c>
      <c r="U19" s="117">
        <f>(R19+S19)</f>
        <v>576</v>
      </c>
      <c r="V19" s="117">
        <f t="shared" si="0"/>
        <v>576</v>
      </c>
      <c r="W19" s="132">
        <f>V19/1000</f>
        <v>0.57599999999999996</v>
      </c>
      <c r="X19" s="164"/>
      <c r="Y19" s="8" t="s">
        <v>150</v>
      </c>
      <c r="Z19" s="35">
        <v>0</v>
      </c>
      <c r="AA19" s="61">
        <v>208</v>
      </c>
      <c r="AB19" s="61">
        <v>368</v>
      </c>
      <c r="AC19" s="61">
        <v>0</v>
      </c>
      <c r="AD19" s="106">
        <f>(AA19+AB19)/(AH19)</f>
        <v>0.86486486486486491</v>
      </c>
      <c r="AE19" s="339"/>
      <c r="AF19" s="8" t="s">
        <v>218</v>
      </c>
      <c r="AG19" s="8">
        <v>0</v>
      </c>
      <c r="AH19" s="8">
        <v>666</v>
      </c>
      <c r="AI19" s="29" t="s">
        <v>274</v>
      </c>
      <c r="AJ19" s="313"/>
      <c r="AK19" s="310"/>
      <c r="AL19" s="310"/>
      <c r="AM19" s="278"/>
      <c r="AN19" s="278"/>
      <c r="AO19" s="281"/>
      <c r="AP19" s="305"/>
      <c r="AQ19" s="164"/>
      <c r="AR19" s="270"/>
      <c r="AS19" s="270"/>
      <c r="AT19" s="271"/>
      <c r="AU19" s="270"/>
      <c r="AV19" s="270"/>
      <c r="AW19" s="271"/>
      <c r="AX19" s="271"/>
      <c r="AY19" s="48" t="s">
        <v>354</v>
      </c>
      <c r="AZ19" s="12"/>
      <c r="BA19" s="12"/>
      <c r="BB19" s="12"/>
    </row>
    <row r="20" spans="1:54" ht="136.5" customHeight="1" x14ac:dyDescent="0.25">
      <c r="A20" s="354" t="s">
        <v>19</v>
      </c>
      <c r="B20" s="354" t="s">
        <v>20</v>
      </c>
      <c r="C20" s="354" t="s">
        <v>21</v>
      </c>
      <c r="D20" s="354" t="s">
        <v>22</v>
      </c>
      <c r="E20" s="358" t="s">
        <v>23</v>
      </c>
      <c r="F20" s="358" t="s">
        <v>337</v>
      </c>
      <c r="G20" s="358" t="s">
        <v>379</v>
      </c>
      <c r="H20" s="358" t="s">
        <v>439</v>
      </c>
      <c r="I20" s="358" t="s">
        <v>453</v>
      </c>
      <c r="J20" s="357" t="s">
        <v>80</v>
      </c>
      <c r="K20" s="5" t="s">
        <v>81</v>
      </c>
      <c r="L20" s="14" t="s">
        <v>300</v>
      </c>
      <c r="M20" s="20">
        <v>0.25</v>
      </c>
      <c r="N20" s="20">
        <v>0.25</v>
      </c>
      <c r="O20" s="20">
        <v>0.25</v>
      </c>
      <c r="P20" s="20">
        <v>0.25</v>
      </c>
      <c r="Q20" s="12">
        <v>0</v>
      </c>
      <c r="R20" s="12"/>
      <c r="S20" s="59">
        <v>6.3E-2</v>
      </c>
      <c r="T20" s="59">
        <v>0.63</v>
      </c>
      <c r="U20" s="59">
        <f>(S20+T20)</f>
        <v>0.69300000000000006</v>
      </c>
      <c r="V20" s="99">
        <f>1</f>
        <v>1</v>
      </c>
      <c r="W20" s="107">
        <f>V20/1</f>
        <v>1</v>
      </c>
      <c r="X20" s="67" t="s">
        <v>345</v>
      </c>
      <c r="Y20" s="29" t="s">
        <v>152</v>
      </c>
      <c r="Z20" s="35">
        <v>0</v>
      </c>
      <c r="AA20" s="59">
        <f>0.25/4</f>
        <v>6.25E-2</v>
      </c>
      <c r="AB20" s="59">
        <v>6.3E-2</v>
      </c>
      <c r="AC20" s="59">
        <v>6.3E-2</v>
      </c>
      <c r="AD20" s="107">
        <f>(0.189)/(0.25)</f>
        <v>0.75600000000000001</v>
      </c>
      <c r="AE20" s="341">
        <f>SUM(AD20:AD29)/(4)</f>
        <v>0.93900000000000006</v>
      </c>
      <c r="AF20" s="29" t="s">
        <v>304</v>
      </c>
      <c r="AG20" s="8" t="s">
        <v>219</v>
      </c>
      <c r="AH20" s="8" t="s">
        <v>220</v>
      </c>
      <c r="AI20" s="29" t="s">
        <v>274</v>
      </c>
      <c r="AJ20" s="174" t="s">
        <v>469</v>
      </c>
      <c r="AK20" s="174" t="s">
        <v>470</v>
      </c>
      <c r="AL20" s="143" t="s">
        <v>277</v>
      </c>
      <c r="AM20" s="179">
        <v>450000000</v>
      </c>
      <c r="AN20" s="179">
        <v>440471000</v>
      </c>
      <c r="AO20" s="192">
        <f t="shared" ref="AO20:AO28" si="1">AN20/AM20</f>
        <v>0.9788244444444445</v>
      </c>
      <c r="AP20" s="306">
        <f>(5328290862)/(17105531213)</f>
        <v>0.31149519974863815</v>
      </c>
      <c r="AQ20" s="314" t="s">
        <v>447</v>
      </c>
      <c r="AR20" s="68" t="s">
        <v>281</v>
      </c>
      <c r="AS20" s="68" t="s">
        <v>282</v>
      </c>
      <c r="AT20" s="69">
        <f>4219201533+12098603258</f>
        <v>16317804791</v>
      </c>
      <c r="AU20" s="69">
        <v>63288000</v>
      </c>
      <c r="AV20" s="69">
        <v>1568126610</v>
      </c>
      <c r="AW20" s="83">
        <f>279169593+ 3880406259</f>
        <v>4159575852</v>
      </c>
      <c r="AX20" s="97">
        <f>756838664+3883206259</f>
        <v>4640044923</v>
      </c>
      <c r="AY20" s="49" t="s">
        <v>308</v>
      </c>
      <c r="AZ20" s="72" t="s">
        <v>386</v>
      </c>
      <c r="BA20" s="12"/>
      <c r="BB20" s="12"/>
    </row>
    <row r="21" spans="1:54" ht="89.25" customHeight="1" x14ac:dyDescent="0.25">
      <c r="A21" s="354"/>
      <c r="B21" s="354"/>
      <c r="C21" s="354"/>
      <c r="D21" s="354"/>
      <c r="E21" s="358" t="s">
        <v>24</v>
      </c>
      <c r="F21" s="358" t="s">
        <v>342</v>
      </c>
      <c r="G21" s="358" t="s">
        <v>380</v>
      </c>
      <c r="H21" s="356" t="s">
        <v>440</v>
      </c>
      <c r="I21" s="356" t="s">
        <v>454</v>
      </c>
      <c r="J21" s="353"/>
      <c r="K21" s="5" t="s">
        <v>82</v>
      </c>
      <c r="L21" s="15">
        <v>13</v>
      </c>
      <c r="M21" s="20">
        <v>0</v>
      </c>
      <c r="N21" s="20">
        <v>13</v>
      </c>
      <c r="O21" s="20">
        <v>13</v>
      </c>
      <c r="P21" s="20">
        <v>14</v>
      </c>
      <c r="Q21" s="12">
        <v>7</v>
      </c>
      <c r="R21" s="58">
        <v>2</v>
      </c>
      <c r="S21" s="58">
        <v>5</v>
      </c>
      <c r="T21" s="99">
        <v>0</v>
      </c>
      <c r="U21" s="118">
        <f>(Q21+R21+S21)</f>
        <v>14</v>
      </c>
      <c r="V21" s="118">
        <f t="shared" ref="V21:V32" si="2">L21+U21</f>
        <v>27</v>
      </c>
      <c r="W21" s="133">
        <f>100%</f>
        <v>1</v>
      </c>
      <c r="X21" s="322" t="s">
        <v>151</v>
      </c>
      <c r="Y21" s="8" t="s">
        <v>153</v>
      </c>
      <c r="Z21" s="35">
        <v>7</v>
      </c>
      <c r="AA21" s="58">
        <v>2</v>
      </c>
      <c r="AB21" s="58">
        <v>5</v>
      </c>
      <c r="AC21" s="99">
        <v>0</v>
      </c>
      <c r="AD21" s="107">
        <f>100%</f>
        <v>1</v>
      </c>
      <c r="AE21" s="342"/>
      <c r="AF21" s="8" t="s">
        <v>221</v>
      </c>
      <c r="AG21" s="39">
        <v>13</v>
      </c>
      <c r="AH21" s="39">
        <v>13</v>
      </c>
      <c r="AI21" s="29" t="s">
        <v>274</v>
      </c>
      <c r="AJ21" s="143" t="s">
        <v>544</v>
      </c>
      <c r="AK21" s="143" t="s">
        <v>538</v>
      </c>
      <c r="AL21" s="143" t="s">
        <v>539</v>
      </c>
      <c r="AM21" s="179">
        <v>50000000</v>
      </c>
      <c r="AN21" s="179">
        <v>0</v>
      </c>
      <c r="AO21" s="180">
        <f t="shared" si="1"/>
        <v>0</v>
      </c>
      <c r="AP21" s="307"/>
      <c r="AQ21" s="314"/>
      <c r="AR21" s="331" t="s">
        <v>283</v>
      </c>
      <c r="AS21" s="332" t="s">
        <v>284</v>
      </c>
      <c r="AT21" s="328">
        <f>450000000+250000000</f>
        <v>700000000</v>
      </c>
      <c r="AU21" s="328">
        <f>202996000+80000000</f>
        <v>282996000</v>
      </c>
      <c r="AV21" s="328">
        <f>202996000+250000000</f>
        <v>452996000</v>
      </c>
      <c r="AW21" s="328">
        <f>423971000+244775000</f>
        <v>668746000</v>
      </c>
      <c r="AX21" s="328">
        <f>440471000+247775000</f>
        <v>688246000</v>
      </c>
      <c r="AY21" s="49" t="s">
        <v>309</v>
      </c>
      <c r="AZ21" s="57" t="s">
        <v>383</v>
      </c>
      <c r="BA21" s="57" t="s">
        <v>410</v>
      </c>
      <c r="BB21" s="12"/>
    </row>
    <row r="22" spans="1:54" ht="63" customHeight="1" x14ac:dyDescent="0.25">
      <c r="A22" s="354"/>
      <c r="B22" s="354"/>
      <c r="C22" s="354"/>
      <c r="D22" s="354"/>
      <c r="E22" s="358" t="s">
        <v>25</v>
      </c>
      <c r="F22" s="358" t="s">
        <v>336</v>
      </c>
      <c r="G22" s="358" t="s">
        <v>381</v>
      </c>
      <c r="H22" s="358" t="s">
        <v>441</v>
      </c>
      <c r="I22" s="358" t="s">
        <v>455</v>
      </c>
      <c r="J22" s="354" t="s">
        <v>83</v>
      </c>
      <c r="K22" s="5" t="s">
        <v>84</v>
      </c>
      <c r="L22" s="15">
        <v>4</v>
      </c>
      <c r="M22" s="10">
        <v>2</v>
      </c>
      <c r="N22" s="10">
        <v>2</v>
      </c>
      <c r="O22" s="10">
        <v>2</v>
      </c>
      <c r="P22" s="10">
        <v>2</v>
      </c>
      <c r="Q22" s="12">
        <v>7</v>
      </c>
      <c r="R22" s="33">
        <v>4</v>
      </c>
      <c r="S22" s="33">
        <v>2</v>
      </c>
      <c r="T22" s="33">
        <v>0</v>
      </c>
      <c r="U22" s="119">
        <f>(Q22+R22+S22)</f>
        <v>13</v>
      </c>
      <c r="V22" s="119">
        <f t="shared" si="2"/>
        <v>17</v>
      </c>
      <c r="W22" s="133">
        <f>100%</f>
        <v>1</v>
      </c>
      <c r="X22" s="322"/>
      <c r="Y22" s="8" t="s">
        <v>154</v>
      </c>
      <c r="Z22" s="33">
        <v>7</v>
      </c>
      <c r="AA22" s="33">
        <v>4</v>
      </c>
      <c r="AB22" s="33">
        <v>2</v>
      </c>
      <c r="AC22" s="33">
        <v>0</v>
      </c>
      <c r="AD22" s="107">
        <f>100%</f>
        <v>1</v>
      </c>
      <c r="AE22" s="342"/>
      <c r="AF22" s="8" t="s">
        <v>222</v>
      </c>
      <c r="AG22" s="8">
        <v>2</v>
      </c>
      <c r="AH22" s="8">
        <v>2</v>
      </c>
      <c r="AI22" s="70" t="s">
        <v>274</v>
      </c>
      <c r="AJ22" s="143" t="s">
        <v>543</v>
      </c>
      <c r="AK22" s="143" t="s">
        <v>540</v>
      </c>
      <c r="AL22" s="143" t="s">
        <v>541</v>
      </c>
      <c r="AM22" s="179">
        <v>1</v>
      </c>
      <c r="AN22" s="179">
        <v>0</v>
      </c>
      <c r="AO22" s="192">
        <f t="shared" si="1"/>
        <v>0</v>
      </c>
      <c r="AP22" s="307"/>
      <c r="AQ22" s="314"/>
      <c r="AR22" s="331"/>
      <c r="AS22" s="332"/>
      <c r="AT22" s="328"/>
      <c r="AU22" s="328"/>
      <c r="AV22" s="328"/>
      <c r="AW22" s="328"/>
      <c r="AX22" s="328"/>
      <c r="AY22" s="49" t="s">
        <v>310</v>
      </c>
      <c r="AZ22" s="57" t="s">
        <v>384</v>
      </c>
      <c r="BA22" s="57" t="s">
        <v>412</v>
      </c>
      <c r="BB22" s="12"/>
    </row>
    <row r="23" spans="1:54" ht="63" customHeight="1" x14ac:dyDescent="0.25">
      <c r="A23" s="354"/>
      <c r="B23" s="354"/>
      <c r="C23" s="354"/>
      <c r="D23" s="354"/>
      <c r="E23" s="358"/>
      <c r="F23" s="358"/>
      <c r="G23" s="358"/>
      <c r="H23" s="358"/>
      <c r="I23" s="358"/>
      <c r="J23" s="354"/>
      <c r="K23" s="157"/>
      <c r="L23" s="15"/>
      <c r="M23" s="10"/>
      <c r="N23" s="10"/>
      <c r="O23" s="10"/>
      <c r="P23" s="10"/>
      <c r="Q23" s="12"/>
      <c r="R23" s="33"/>
      <c r="S23" s="33"/>
      <c r="T23" s="33"/>
      <c r="U23" s="119"/>
      <c r="V23" s="119"/>
      <c r="W23" s="133"/>
      <c r="X23" s="322"/>
      <c r="Y23" s="161"/>
      <c r="Z23" s="33"/>
      <c r="AA23" s="33"/>
      <c r="AB23" s="33"/>
      <c r="AC23" s="33"/>
      <c r="AD23" s="107"/>
      <c r="AE23" s="342"/>
      <c r="AF23" s="161"/>
      <c r="AG23" s="161"/>
      <c r="AH23" s="161"/>
      <c r="AI23" s="165"/>
      <c r="AJ23" s="143" t="s">
        <v>542</v>
      </c>
      <c r="AK23" s="143" t="s">
        <v>470</v>
      </c>
      <c r="AL23" s="143" t="s">
        <v>470</v>
      </c>
      <c r="AM23" s="179">
        <v>250000000</v>
      </c>
      <c r="AN23" s="179">
        <v>247775000</v>
      </c>
      <c r="AO23" s="192">
        <f t="shared" si="1"/>
        <v>0.99109999999999998</v>
      </c>
      <c r="AP23" s="307"/>
      <c r="AQ23" s="314"/>
      <c r="AR23" s="331"/>
      <c r="AS23" s="332"/>
      <c r="AT23" s="328"/>
      <c r="AU23" s="328"/>
      <c r="AV23" s="328"/>
      <c r="AW23" s="328"/>
      <c r="AX23" s="328"/>
      <c r="AY23" s="49"/>
      <c r="AZ23" s="57"/>
      <c r="BA23" s="57"/>
      <c r="BB23" s="12"/>
    </row>
    <row r="24" spans="1:54" ht="63" customHeight="1" x14ac:dyDescent="0.25">
      <c r="A24" s="354"/>
      <c r="B24" s="354"/>
      <c r="C24" s="354"/>
      <c r="D24" s="354"/>
      <c r="E24" s="358"/>
      <c r="F24" s="358"/>
      <c r="G24" s="358"/>
      <c r="H24" s="358"/>
      <c r="I24" s="358"/>
      <c r="J24" s="354"/>
      <c r="K24" s="157"/>
      <c r="L24" s="15"/>
      <c r="M24" s="10"/>
      <c r="N24" s="10"/>
      <c r="O24" s="10"/>
      <c r="P24" s="10"/>
      <c r="Q24" s="12"/>
      <c r="R24" s="33"/>
      <c r="S24" s="33"/>
      <c r="T24" s="33"/>
      <c r="U24" s="119"/>
      <c r="V24" s="119"/>
      <c r="W24" s="133"/>
      <c r="X24" s="322"/>
      <c r="Y24" s="161"/>
      <c r="Z24" s="33"/>
      <c r="AA24" s="33"/>
      <c r="AB24" s="33"/>
      <c r="AC24" s="33"/>
      <c r="AD24" s="107"/>
      <c r="AE24" s="342"/>
      <c r="AF24" s="161"/>
      <c r="AG24" s="161"/>
      <c r="AH24" s="161"/>
      <c r="AI24" s="165"/>
      <c r="AJ24" s="143" t="s">
        <v>545</v>
      </c>
      <c r="AK24" s="143" t="s">
        <v>540</v>
      </c>
      <c r="AL24" s="143" t="s">
        <v>540</v>
      </c>
      <c r="AM24" s="179">
        <v>4219201533</v>
      </c>
      <c r="AN24" s="179">
        <v>3883206258</v>
      </c>
      <c r="AO24" s="192">
        <f t="shared" si="1"/>
        <v>0.92036519887185964</v>
      </c>
      <c r="AP24" s="307"/>
      <c r="AQ24" s="314"/>
      <c r="AR24" s="331"/>
      <c r="AS24" s="332"/>
      <c r="AT24" s="328"/>
      <c r="AU24" s="328"/>
      <c r="AV24" s="328"/>
      <c r="AW24" s="328"/>
      <c r="AX24" s="328"/>
      <c r="AY24" s="49"/>
      <c r="AZ24" s="57"/>
      <c r="BA24" s="57"/>
      <c r="BB24" s="12"/>
    </row>
    <row r="25" spans="1:54" ht="63" customHeight="1" x14ac:dyDescent="0.25">
      <c r="A25" s="354"/>
      <c r="B25" s="354"/>
      <c r="C25" s="354"/>
      <c r="D25" s="354"/>
      <c r="E25" s="358"/>
      <c r="F25" s="358"/>
      <c r="G25" s="358"/>
      <c r="H25" s="358"/>
      <c r="I25" s="358"/>
      <c r="J25" s="354"/>
      <c r="K25" s="157"/>
      <c r="L25" s="15"/>
      <c r="M25" s="10"/>
      <c r="N25" s="10"/>
      <c r="O25" s="10"/>
      <c r="P25" s="10"/>
      <c r="Q25" s="12"/>
      <c r="R25" s="33"/>
      <c r="S25" s="33"/>
      <c r="T25" s="33"/>
      <c r="U25" s="119"/>
      <c r="V25" s="119"/>
      <c r="W25" s="133"/>
      <c r="X25" s="322"/>
      <c r="Y25" s="161"/>
      <c r="Z25" s="33"/>
      <c r="AA25" s="33"/>
      <c r="AB25" s="33"/>
      <c r="AC25" s="33"/>
      <c r="AD25" s="107"/>
      <c r="AE25" s="342"/>
      <c r="AF25" s="161"/>
      <c r="AG25" s="161"/>
      <c r="AH25" s="161"/>
      <c r="AI25" s="165"/>
      <c r="AJ25" s="143" t="s">
        <v>546</v>
      </c>
      <c r="AK25" s="143" t="s">
        <v>540</v>
      </c>
      <c r="AL25" s="143" t="s">
        <v>540</v>
      </c>
      <c r="AM25" s="179">
        <v>12098603258</v>
      </c>
      <c r="AN25" s="179">
        <v>756838604</v>
      </c>
      <c r="AO25" s="192">
        <f t="shared" si="1"/>
        <v>6.2555865983914549E-2</v>
      </c>
      <c r="AP25" s="307"/>
      <c r="AQ25" s="314"/>
      <c r="AR25" s="331"/>
      <c r="AS25" s="332"/>
      <c r="AT25" s="328"/>
      <c r="AU25" s="328"/>
      <c r="AV25" s="328"/>
      <c r="AW25" s="328"/>
      <c r="AX25" s="328"/>
      <c r="AY25" s="49"/>
      <c r="AZ25" s="57"/>
      <c r="BA25" s="57"/>
      <c r="BB25" s="12"/>
    </row>
    <row r="26" spans="1:54" ht="63" customHeight="1" x14ac:dyDescent="0.25">
      <c r="A26" s="354"/>
      <c r="B26" s="354"/>
      <c r="C26" s="354"/>
      <c r="D26" s="354"/>
      <c r="E26" s="358"/>
      <c r="F26" s="358"/>
      <c r="G26" s="358"/>
      <c r="H26" s="358"/>
      <c r="I26" s="358"/>
      <c r="J26" s="354"/>
      <c r="K26" s="157"/>
      <c r="L26" s="15"/>
      <c r="M26" s="10"/>
      <c r="N26" s="10"/>
      <c r="O26" s="10"/>
      <c r="P26" s="10"/>
      <c r="Q26" s="12"/>
      <c r="R26" s="33"/>
      <c r="S26" s="33"/>
      <c r="T26" s="33"/>
      <c r="U26" s="119"/>
      <c r="V26" s="119"/>
      <c r="W26" s="133"/>
      <c r="X26" s="322"/>
      <c r="Y26" s="161"/>
      <c r="Z26" s="33"/>
      <c r="AA26" s="33"/>
      <c r="AB26" s="33"/>
      <c r="AC26" s="33"/>
      <c r="AD26" s="107"/>
      <c r="AE26" s="342"/>
      <c r="AF26" s="161"/>
      <c r="AG26" s="161"/>
      <c r="AH26" s="161"/>
      <c r="AI26" s="165"/>
      <c r="AJ26" s="143" t="s">
        <v>547</v>
      </c>
      <c r="AK26" s="143" t="s">
        <v>540</v>
      </c>
      <c r="AL26" s="143" t="s">
        <v>540</v>
      </c>
      <c r="AM26" s="179">
        <v>10000000</v>
      </c>
      <c r="AN26" s="179">
        <v>0</v>
      </c>
      <c r="AO26" s="192">
        <f t="shared" si="1"/>
        <v>0</v>
      </c>
      <c r="AP26" s="307"/>
      <c r="AQ26" s="314"/>
      <c r="AR26" s="331"/>
      <c r="AS26" s="332"/>
      <c r="AT26" s="328"/>
      <c r="AU26" s="328"/>
      <c r="AV26" s="328"/>
      <c r="AW26" s="328"/>
      <c r="AX26" s="328"/>
      <c r="AY26" s="49"/>
      <c r="AZ26" s="57"/>
      <c r="BA26" s="57"/>
      <c r="BB26" s="12"/>
    </row>
    <row r="27" spans="1:54" ht="63" customHeight="1" x14ac:dyDescent="0.25">
      <c r="A27" s="354"/>
      <c r="B27" s="354"/>
      <c r="C27" s="354"/>
      <c r="D27" s="354"/>
      <c r="E27" s="358"/>
      <c r="F27" s="358"/>
      <c r="G27" s="358"/>
      <c r="H27" s="358"/>
      <c r="I27" s="358"/>
      <c r="J27" s="354"/>
      <c r="K27" s="157"/>
      <c r="L27" s="15"/>
      <c r="M27" s="10"/>
      <c r="N27" s="10"/>
      <c r="O27" s="10"/>
      <c r="P27" s="10"/>
      <c r="Q27" s="12"/>
      <c r="R27" s="33"/>
      <c r="S27" s="33"/>
      <c r="T27" s="33"/>
      <c r="U27" s="119"/>
      <c r="V27" s="119"/>
      <c r="W27" s="133"/>
      <c r="X27" s="322"/>
      <c r="Y27" s="161"/>
      <c r="Z27" s="33"/>
      <c r="AA27" s="33"/>
      <c r="AB27" s="33"/>
      <c r="AC27" s="33"/>
      <c r="AD27" s="107"/>
      <c r="AE27" s="342"/>
      <c r="AF27" s="161"/>
      <c r="AG27" s="161"/>
      <c r="AH27" s="161"/>
      <c r="AI27" s="165"/>
      <c r="AJ27" s="143" t="s">
        <v>548</v>
      </c>
      <c r="AK27" s="143" t="s">
        <v>540</v>
      </c>
      <c r="AL27" s="143" t="s">
        <v>540</v>
      </c>
      <c r="AM27" s="179">
        <v>18290190</v>
      </c>
      <c r="AN27" s="179">
        <v>0</v>
      </c>
      <c r="AO27" s="192">
        <f t="shared" si="1"/>
        <v>0</v>
      </c>
      <c r="AP27" s="307"/>
      <c r="AQ27" s="314"/>
      <c r="AR27" s="331"/>
      <c r="AS27" s="332"/>
      <c r="AT27" s="328"/>
      <c r="AU27" s="328"/>
      <c r="AV27" s="328"/>
      <c r="AW27" s="328"/>
      <c r="AX27" s="328"/>
      <c r="AY27" s="49"/>
      <c r="AZ27" s="57"/>
      <c r="BA27" s="57"/>
      <c r="BB27" s="12"/>
    </row>
    <row r="28" spans="1:54" ht="63" customHeight="1" x14ac:dyDescent="0.25">
      <c r="A28" s="354"/>
      <c r="B28" s="354"/>
      <c r="C28" s="354"/>
      <c r="D28" s="354"/>
      <c r="E28" s="358"/>
      <c r="F28" s="358"/>
      <c r="G28" s="358"/>
      <c r="H28" s="358"/>
      <c r="I28" s="358"/>
      <c r="J28" s="354"/>
      <c r="K28" s="157"/>
      <c r="L28" s="15"/>
      <c r="M28" s="10"/>
      <c r="N28" s="10"/>
      <c r="O28" s="10"/>
      <c r="P28" s="10"/>
      <c r="Q28" s="12"/>
      <c r="R28" s="33"/>
      <c r="S28" s="33"/>
      <c r="T28" s="33"/>
      <c r="U28" s="119"/>
      <c r="V28" s="119"/>
      <c r="W28" s="133"/>
      <c r="X28" s="322"/>
      <c r="Y28" s="161"/>
      <c r="Z28" s="33"/>
      <c r="AA28" s="33"/>
      <c r="AB28" s="33"/>
      <c r="AC28" s="33"/>
      <c r="AD28" s="107"/>
      <c r="AE28" s="342"/>
      <c r="AF28" s="161"/>
      <c r="AG28" s="161"/>
      <c r="AH28" s="161"/>
      <c r="AI28" s="165"/>
      <c r="AJ28" s="143" t="s">
        <v>549</v>
      </c>
      <c r="AK28" s="143" t="s">
        <v>540</v>
      </c>
      <c r="AL28" s="143" t="s">
        <v>540</v>
      </c>
      <c r="AM28" s="193">
        <v>9436231</v>
      </c>
      <c r="AN28" s="179">
        <v>0</v>
      </c>
      <c r="AO28" s="192">
        <f t="shared" si="1"/>
        <v>0</v>
      </c>
      <c r="AP28" s="307"/>
      <c r="AQ28" s="314"/>
      <c r="AR28" s="331"/>
      <c r="AS28" s="332"/>
      <c r="AT28" s="328"/>
      <c r="AU28" s="328"/>
      <c r="AV28" s="328"/>
      <c r="AW28" s="328"/>
      <c r="AX28" s="328"/>
      <c r="AY28" s="49"/>
      <c r="AZ28" s="57"/>
      <c r="BA28" s="57"/>
      <c r="BB28" s="12"/>
    </row>
    <row r="29" spans="1:54" ht="96" customHeight="1" x14ac:dyDescent="0.25">
      <c r="A29" s="354"/>
      <c r="B29" s="354"/>
      <c r="C29" s="354"/>
      <c r="D29" s="354"/>
      <c r="E29" s="358" t="s">
        <v>26</v>
      </c>
      <c r="F29" s="358" t="s">
        <v>335</v>
      </c>
      <c r="G29" s="358" t="s">
        <v>382</v>
      </c>
      <c r="H29" s="358" t="s">
        <v>413</v>
      </c>
      <c r="I29" s="358" t="s">
        <v>456</v>
      </c>
      <c r="J29" s="354"/>
      <c r="K29" s="5" t="s">
        <v>85</v>
      </c>
      <c r="L29" s="15">
        <v>18</v>
      </c>
      <c r="M29" s="10">
        <v>5</v>
      </c>
      <c r="N29" s="10">
        <v>7</v>
      </c>
      <c r="O29" s="10">
        <v>9</v>
      </c>
      <c r="P29" s="10">
        <v>9</v>
      </c>
      <c r="Q29" s="12">
        <v>0</v>
      </c>
      <c r="R29" s="33">
        <v>0</v>
      </c>
      <c r="S29" s="33">
        <v>4</v>
      </c>
      <c r="T29" s="33">
        <v>4</v>
      </c>
      <c r="U29" s="120">
        <f>S29+T29</f>
        <v>8</v>
      </c>
      <c r="V29" s="120">
        <f t="shared" si="2"/>
        <v>26</v>
      </c>
      <c r="W29" s="134">
        <f>V29/30</f>
        <v>0.8666666666666667</v>
      </c>
      <c r="X29" s="323"/>
      <c r="Y29" s="8" t="s">
        <v>155</v>
      </c>
      <c r="Z29" s="33">
        <v>0</v>
      </c>
      <c r="AA29" s="33">
        <v>0</v>
      </c>
      <c r="AB29" s="33">
        <v>4</v>
      </c>
      <c r="AC29" s="33">
        <v>4</v>
      </c>
      <c r="AD29" s="107">
        <f>(AB29+AC29)/(AH29)</f>
        <v>1</v>
      </c>
      <c r="AE29" s="343"/>
      <c r="AF29" s="8" t="s">
        <v>223</v>
      </c>
      <c r="AG29" s="36">
        <v>11</v>
      </c>
      <c r="AH29" s="36">
        <v>8</v>
      </c>
      <c r="AI29" s="29" t="s">
        <v>274</v>
      </c>
      <c r="AJ29" s="143"/>
      <c r="AK29" s="143"/>
      <c r="AL29" s="143"/>
      <c r="AM29" s="232"/>
      <c r="AN29" s="232"/>
      <c r="AO29" s="192"/>
      <c r="AP29" s="308"/>
      <c r="AQ29" s="314"/>
      <c r="AR29" s="331"/>
      <c r="AS29" s="332"/>
      <c r="AT29" s="328"/>
      <c r="AU29" s="328"/>
      <c r="AV29" s="328"/>
      <c r="AW29" s="328"/>
      <c r="AX29" s="328"/>
      <c r="AY29" s="49" t="s">
        <v>311</v>
      </c>
      <c r="AZ29" s="57" t="s">
        <v>385</v>
      </c>
      <c r="BA29" s="57" t="s">
        <v>411</v>
      </c>
      <c r="BB29" s="57" t="s">
        <v>452</v>
      </c>
    </row>
    <row r="30" spans="1:54" ht="51.75" customHeight="1" x14ac:dyDescent="0.25">
      <c r="A30" s="354"/>
      <c r="B30" s="354"/>
      <c r="C30" s="354"/>
      <c r="D30" s="359" t="s">
        <v>27</v>
      </c>
      <c r="E30" s="354" t="s">
        <v>28</v>
      </c>
      <c r="F30" s="354">
        <v>26</v>
      </c>
      <c r="G30" s="354">
        <v>13</v>
      </c>
      <c r="H30" s="354">
        <v>9</v>
      </c>
      <c r="I30" s="354">
        <v>28</v>
      </c>
      <c r="J30" s="354" t="s">
        <v>86</v>
      </c>
      <c r="K30" s="5" t="s">
        <v>87</v>
      </c>
      <c r="L30" s="15">
        <v>138</v>
      </c>
      <c r="M30" s="20">
        <v>11</v>
      </c>
      <c r="N30" s="20">
        <v>13</v>
      </c>
      <c r="O30" s="20">
        <v>13</v>
      </c>
      <c r="P30" s="20">
        <v>13</v>
      </c>
      <c r="Q30" s="12">
        <v>2</v>
      </c>
      <c r="R30" s="12">
        <v>3</v>
      </c>
      <c r="S30" s="33">
        <v>2</v>
      </c>
      <c r="T30" s="33">
        <v>9</v>
      </c>
      <c r="U30" s="33">
        <f>(Q30+R30+S30+T30)</f>
        <v>16</v>
      </c>
      <c r="V30" s="33">
        <f t="shared" si="2"/>
        <v>154</v>
      </c>
      <c r="W30" s="107">
        <f>100%</f>
        <v>1</v>
      </c>
      <c r="X30" s="314" t="s">
        <v>156</v>
      </c>
      <c r="Y30" s="8" t="s">
        <v>157</v>
      </c>
      <c r="Z30" s="33">
        <v>2</v>
      </c>
      <c r="AA30" s="33">
        <v>3</v>
      </c>
      <c r="AB30" s="33">
        <v>2</v>
      </c>
      <c r="AC30" s="33">
        <v>9</v>
      </c>
      <c r="AD30" s="107">
        <f>100%</f>
        <v>1</v>
      </c>
      <c r="AE30" s="341">
        <f>SUM(AD30:AD38)/(8)</f>
        <v>0.5</v>
      </c>
      <c r="AF30" s="87" t="s">
        <v>224</v>
      </c>
      <c r="AG30" s="8">
        <v>75</v>
      </c>
      <c r="AH30" s="8">
        <v>13</v>
      </c>
      <c r="AI30" s="29" t="s">
        <v>274</v>
      </c>
      <c r="AJ30" s="143" t="s">
        <v>471</v>
      </c>
      <c r="AK30" s="143" t="s">
        <v>550</v>
      </c>
      <c r="AL30" s="167" t="s">
        <v>277</v>
      </c>
      <c r="AM30" s="225">
        <v>150000000</v>
      </c>
      <c r="AN30" s="225">
        <v>149990000</v>
      </c>
      <c r="AO30" s="175">
        <f t="shared" ref="AO30:AO36" si="3">AN30/AM30</f>
        <v>0.99993333333333334</v>
      </c>
      <c r="AP30" s="279">
        <f>(2747084697)/(14737959170)</f>
        <v>0.18639518981650158</v>
      </c>
      <c r="AQ30" s="314" t="s">
        <v>447</v>
      </c>
      <c r="AR30" s="269" t="s">
        <v>285</v>
      </c>
      <c r="AS30" s="269" t="s">
        <v>286</v>
      </c>
      <c r="AT30" s="267">
        <v>370000000</v>
      </c>
      <c r="AU30" s="267">
        <v>110990000</v>
      </c>
      <c r="AV30" s="267">
        <v>110990000</v>
      </c>
      <c r="AW30" s="267">
        <v>149990000</v>
      </c>
      <c r="AX30" s="267">
        <f>149990000+197850000</f>
        <v>347840000</v>
      </c>
      <c r="AY30" s="57"/>
      <c r="AZ30" s="12"/>
      <c r="BA30" s="12"/>
      <c r="BB30" s="12"/>
    </row>
    <row r="31" spans="1:54" ht="102" customHeight="1" x14ac:dyDescent="0.25">
      <c r="A31" s="354"/>
      <c r="B31" s="354"/>
      <c r="C31" s="354"/>
      <c r="D31" s="359"/>
      <c r="E31" s="354"/>
      <c r="F31" s="354"/>
      <c r="G31" s="354"/>
      <c r="H31" s="354"/>
      <c r="I31" s="354"/>
      <c r="J31" s="354"/>
      <c r="K31" s="5" t="s">
        <v>88</v>
      </c>
      <c r="L31" s="15">
        <v>192</v>
      </c>
      <c r="M31" s="20">
        <v>42</v>
      </c>
      <c r="N31" s="20">
        <v>42</v>
      </c>
      <c r="O31" s="20">
        <v>43</v>
      </c>
      <c r="P31" s="20">
        <v>43</v>
      </c>
      <c r="Q31" s="12">
        <v>24</v>
      </c>
      <c r="R31" s="12">
        <v>10</v>
      </c>
      <c r="S31" s="33">
        <v>7</v>
      </c>
      <c r="T31" s="33">
        <v>19</v>
      </c>
      <c r="U31" s="33">
        <f>(Q31+R31+S31+T31)</f>
        <v>60</v>
      </c>
      <c r="V31" s="33">
        <f t="shared" si="2"/>
        <v>252</v>
      </c>
      <c r="W31" s="33"/>
      <c r="X31" s="314"/>
      <c r="Y31" s="8" t="s">
        <v>158</v>
      </c>
      <c r="Z31" s="35">
        <v>24</v>
      </c>
      <c r="AA31" s="33">
        <v>10</v>
      </c>
      <c r="AB31" s="33">
        <v>7</v>
      </c>
      <c r="AC31" s="33">
        <v>19</v>
      </c>
      <c r="AD31" s="107">
        <f>100%</f>
        <v>1</v>
      </c>
      <c r="AE31" s="342"/>
      <c r="AF31" s="8" t="s">
        <v>225</v>
      </c>
      <c r="AG31" s="8">
        <v>84</v>
      </c>
      <c r="AH31" s="8">
        <v>43</v>
      </c>
      <c r="AI31" s="29" t="s">
        <v>274</v>
      </c>
      <c r="AJ31" s="205" t="s">
        <v>472</v>
      </c>
      <c r="AK31" s="143" t="s">
        <v>473</v>
      </c>
      <c r="AL31" s="167" t="s">
        <v>277</v>
      </c>
      <c r="AM31" s="225">
        <v>1226300000</v>
      </c>
      <c r="AN31" s="225">
        <v>1046949992</v>
      </c>
      <c r="AO31" s="175">
        <f t="shared" si="3"/>
        <v>0.85374703742966651</v>
      </c>
      <c r="AP31" s="280"/>
      <c r="AQ31" s="314"/>
      <c r="AR31" s="272"/>
      <c r="AS31" s="272"/>
      <c r="AT31" s="268"/>
      <c r="AU31" s="268"/>
      <c r="AV31" s="268"/>
      <c r="AW31" s="268"/>
      <c r="AX31" s="268"/>
      <c r="AY31" s="57"/>
      <c r="AZ31" s="12"/>
      <c r="BA31" s="12"/>
      <c r="BB31" s="12"/>
    </row>
    <row r="32" spans="1:54" ht="123.75" customHeight="1" x14ac:dyDescent="0.25">
      <c r="A32" s="354"/>
      <c r="B32" s="354"/>
      <c r="C32" s="354"/>
      <c r="D32" s="359"/>
      <c r="E32" s="354" t="s">
        <v>29</v>
      </c>
      <c r="F32" s="354">
        <v>0</v>
      </c>
      <c r="G32" s="354">
        <v>0</v>
      </c>
      <c r="H32" s="354">
        <v>0</v>
      </c>
      <c r="I32" s="354">
        <v>0</v>
      </c>
      <c r="J32" s="354" t="s">
        <v>89</v>
      </c>
      <c r="K32" s="300" t="s">
        <v>90</v>
      </c>
      <c r="L32" s="300">
        <v>0</v>
      </c>
      <c r="M32" s="300">
        <v>0</v>
      </c>
      <c r="N32" s="300">
        <v>0.33</v>
      </c>
      <c r="O32" s="300">
        <v>0.33</v>
      </c>
      <c r="P32" s="300">
        <v>0.33</v>
      </c>
      <c r="Q32" s="300">
        <v>0</v>
      </c>
      <c r="R32" s="324">
        <v>0</v>
      </c>
      <c r="S32" s="125">
        <v>0</v>
      </c>
      <c r="T32" s="125">
        <v>0</v>
      </c>
      <c r="U32" s="125">
        <f>0</f>
        <v>0</v>
      </c>
      <c r="V32" s="35">
        <f t="shared" si="2"/>
        <v>0</v>
      </c>
      <c r="W32" s="35"/>
      <c r="X32" s="314" t="s">
        <v>159</v>
      </c>
      <c r="Y32" s="29" t="s">
        <v>160</v>
      </c>
      <c r="Z32" s="35">
        <v>0</v>
      </c>
      <c r="AA32" s="35">
        <v>0</v>
      </c>
      <c r="AB32" s="35">
        <v>0</v>
      </c>
      <c r="AC32" s="35">
        <v>0</v>
      </c>
      <c r="AD32" s="108">
        <f>0/0.33</f>
        <v>0</v>
      </c>
      <c r="AE32" s="342"/>
      <c r="AF32" s="29" t="s">
        <v>226</v>
      </c>
      <c r="AG32" s="8">
        <v>0</v>
      </c>
      <c r="AH32" s="8" t="s">
        <v>227</v>
      </c>
      <c r="AI32" s="29" t="s">
        <v>274</v>
      </c>
      <c r="AJ32" s="205" t="s">
        <v>474</v>
      </c>
      <c r="AK32" s="174" t="s">
        <v>551</v>
      </c>
      <c r="AL32" s="154" t="s">
        <v>277</v>
      </c>
      <c r="AM32" s="225">
        <v>1003700000</v>
      </c>
      <c r="AN32" s="225">
        <v>403700000</v>
      </c>
      <c r="AO32" s="172">
        <f t="shared" si="3"/>
        <v>0.40221181627976488</v>
      </c>
      <c r="AP32" s="280"/>
      <c r="AQ32" s="287" t="s">
        <v>423</v>
      </c>
      <c r="AR32" s="37" t="s">
        <v>287</v>
      </c>
      <c r="AS32" s="37" t="s">
        <v>277</v>
      </c>
      <c r="AT32" s="97">
        <v>1003700000</v>
      </c>
      <c r="AU32" s="56">
        <v>417300000</v>
      </c>
      <c r="AV32" s="56">
        <v>417300000</v>
      </c>
      <c r="AW32" s="84">
        <v>1003700000</v>
      </c>
      <c r="AX32" s="84">
        <v>403700000</v>
      </c>
      <c r="AY32" s="50" t="s">
        <v>344</v>
      </c>
      <c r="AZ32" s="72" t="s">
        <v>370</v>
      </c>
      <c r="BA32" s="78" t="s">
        <v>422</v>
      </c>
      <c r="BB32" s="93" t="s">
        <v>451</v>
      </c>
    </row>
    <row r="33" spans="1:54" ht="119.25" customHeight="1" x14ac:dyDescent="0.25">
      <c r="A33" s="354"/>
      <c r="B33" s="354"/>
      <c r="C33" s="354"/>
      <c r="D33" s="359"/>
      <c r="E33" s="354"/>
      <c r="F33" s="354"/>
      <c r="G33" s="354"/>
      <c r="H33" s="354"/>
      <c r="I33" s="354"/>
      <c r="J33" s="354"/>
      <c r="K33" s="301"/>
      <c r="L33" s="301"/>
      <c r="M33" s="301"/>
      <c r="N33" s="301"/>
      <c r="O33" s="301"/>
      <c r="P33" s="301"/>
      <c r="Q33" s="301"/>
      <c r="R33" s="324"/>
      <c r="S33" s="33">
        <v>30</v>
      </c>
      <c r="T33" s="33">
        <v>5</v>
      </c>
      <c r="U33" s="33"/>
      <c r="V33" s="33"/>
      <c r="W33" s="33"/>
      <c r="X33" s="314"/>
      <c r="Y33" s="29" t="s">
        <v>161</v>
      </c>
      <c r="Z33" s="35">
        <v>45</v>
      </c>
      <c r="AA33" s="33">
        <v>0</v>
      </c>
      <c r="AB33" s="33">
        <v>30</v>
      </c>
      <c r="AC33" s="33">
        <v>5</v>
      </c>
      <c r="AD33" s="107">
        <f>100%</f>
        <v>1</v>
      </c>
      <c r="AE33" s="342"/>
      <c r="AF33" s="29" t="s">
        <v>228</v>
      </c>
      <c r="AG33" s="41">
        <v>45</v>
      </c>
      <c r="AH33" s="41">
        <v>26</v>
      </c>
      <c r="AI33" s="29" t="s">
        <v>274</v>
      </c>
      <c r="AJ33" s="205" t="s">
        <v>552</v>
      </c>
      <c r="AK33" s="143" t="s">
        <v>553</v>
      </c>
      <c r="AL33" s="169" t="s">
        <v>277</v>
      </c>
      <c r="AM33" s="225">
        <v>600000000</v>
      </c>
      <c r="AN33" s="225">
        <v>0</v>
      </c>
      <c r="AO33" s="175">
        <f t="shared" si="3"/>
        <v>0</v>
      </c>
      <c r="AP33" s="280"/>
      <c r="AQ33" s="287"/>
      <c r="AR33" s="38" t="s">
        <v>288</v>
      </c>
      <c r="AS33" s="38" t="s">
        <v>277</v>
      </c>
      <c r="AT33" s="96">
        <v>1226300000</v>
      </c>
      <c r="AU33" s="56">
        <v>395900000</v>
      </c>
      <c r="AV33" s="56">
        <v>518900000</v>
      </c>
      <c r="AW33" s="81">
        <v>703816000</v>
      </c>
      <c r="AX33" s="97">
        <v>1046949992</v>
      </c>
      <c r="AY33" s="56"/>
      <c r="AZ33" s="12"/>
      <c r="BA33" s="12"/>
      <c r="BB33" s="12"/>
    </row>
    <row r="34" spans="1:54" ht="102" customHeight="1" x14ac:dyDescent="0.25">
      <c r="A34" s="354"/>
      <c r="B34" s="354"/>
      <c r="C34" s="354"/>
      <c r="D34" s="359"/>
      <c r="E34" s="354"/>
      <c r="F34" s="354"/>
      <c r="G34" s="354"/>
      <c r="H34" s="354"/>
      <c r="I34" s="354"/>
      <c r="J34" s="354"/>
      <c r="K34" s="5" t="s">
        <v>91</v>
      </c>
      <c r="L34" s="15">
        <v>2</v>
      </c>
      <c r="M34" s="12">
        <v>1</v>
      </c>
      <c r="N34" s="12">
        <v>1</v>
      </c>
      <c r="O34" s="12">
        <v>1</v>
      </c>
      <c r="P34" s="12">
        <v>1</v>
      </c>
      <c r="Q34" s="12">
        <v>0</v>
      </c>
      <c r="R34" s="12">
        <v>0</v>
      </c>
      <c r="S34" s="35">
        <v>0</v>
      </c>
      <c r="T34" s="35">
        <v>0</v>
      </c>
      <c r="U34" s="35">
        <f>0</f>
        <v>0</v>
      </c>
      <c r="V34" s="35">
        <f>L34+U34</f>
        <v>2</v>
      </c>
      <c r="W34" s="35"/>
      <c r="X34" s="314"/>
      <c r="Y34" s="8" t="s">
        <v>162</v>
      </c>
      <c r="Z34" s="35">
        <v>0</v>
      </c>
      <c r="AA34" s="35">
        <v>0</v>
      </c>
      <c r="AB34" s="35">
        <v>0</v>
      </c>
      <c r="AC34" s="35">
        <v>0</v>
      </c>
      <c r="AD34" s="108">
        <f>0/AH34</f>
        <v>0</v>
      </c>
      <c r="AE34" s="342"/>
      <c r="AF34" s="11" t="s">
        <v>229</v>
      </c>
      <c r="AG34" s="8">
        <v>1</v>
      </c>
      <c r="AH34" s="8">
        <v>1</v>
      </c>
      <c r="AI34" s="29" t="s">
        <v>274</v>
      </c>
      <c r="AJ34" s="205" t="s">
        <v>554</v>
      </c>
      <c r="AK34" s="143" t="s">
        <v>555</v>
      </c>
      <c r="AL34" s="199" t="s">
        <v>277</v>
      </c>
      <c r="AM34" s="225">
        <v>812829877</v>
      </c>
      <c r="AN34" s="220">
        <v>0</v>
      </c>
      <c r="AO34" s="175">
        <f t="shared" si="3"/>
        <v>0</v>
      </c>
      <c r="AP34" s="280"/>
      <c r="AQ34" s="287"/>
      <c r="AR34" s="37" t="s">
        <v>289</v>
      </c>
      <c r="AS34" s="37" t="s">
        <v>277</v>
      </c>
      <c r="AT34" s="37">
        <v>600000000</v>
      </c>
      <c r="AU34" s="35">
        <v>0</v>
      </c>
      <c r="AV34" s="35">
        <v>0</v>
      </c>
      <c r="AW34" s="47">
        <v>0</v>
      </c>
      <c r="AX34" s="47">
        <v>0</v>
      </c>
      <c r="AY34" s="50" t="s">
        <v>368</v>
      </c>
      <c r="AZ34" s="72" t="s">
        <v>369</v>
      </c>
      <c r="BA34" s="12"/>
      <c r="BB34" s="12"/>
    </row>
    <row r="35" spans="1:54" ht="102" customHeight="1" x14ac:dyDescent="0.25">
      <c r="A35" s="354"/>
      <c r="B35" s="354"/>
      <c r="C35" s="354"/>
      <c r="D35" s="359"/>
      <c r="E35" s="358"/>
      <c r="F35" s="358"/>
      <c r="G35" s="358"/>
      <c r="H35" s="358"/>
      <c r="I35" s="358"/>
      <c r="J35" s="358"/>
      <c r="K35" s="218"/>
      <c r="L35" s="15"/>
      <c r="M35" s="12"/>
      <c r="N35" s="12"/>
      <c r="O35" s="12"/>
      <c r="P35" s="12"/>
      <c r="Q35" s="12"/>
      <c r="R35" s="12"/>
      <c r="S35" s="35"/>
      <c r="T35" s="35"/>
      <c r="U35" s="35"/>
      <c r="V35" s="35"/>
      <c r="W35" s="35"/>
      <c r="X35" s="219"/>
      <c r="Y35" s="219"/>
      <c r="Z35" s="35"/>
      <c r="AA35" s="35"/>
      <c r="AB35" s="35"/>
      <c r="AC35" s="35"/>
      <c r="AD35" s="108"/>
      <c r="AE35" s="342"/>
      <c r="AF35" s="11"/>
      <c r="AG35" s="219"/>
      <c r="AH35" s="219"/>
      <c r="AI35" s="220"/>
      <c r="AJ35" s="205"/>
      <c r="AK35" s="143"/>
      <c r="AL35" s="220"/>
      <c r="AM35" s="225"/>
      <c r="AN35" s="220"/>
      <c r="AO35" s="172"/>
      <c r="AP35" s="280"/>
      <c r="AQ35" s="220"/>
      <c r="AR35" s="213"/>
      <c r="AS35" s="213"/>
      <c r="AT35" s="213"/>
      <c r="AU35" s="43"/>
      <c r="AV35" s="43"/>
      <c r="AW35" s="233"/>
      <c r="AX35" s="233"/>
      <c r="AY35" s="50"/>
      <c r="AZ35" s="217"/>
      <c r="BA35" s="12"/>
      <c r="BB35" s="12"/>
    </row>
    <row r="36" spans="1:54" ht="105.75" customHeight="1" x14ac:dyDescent="0.25">
      <c r="A36" s="354"/>
      <c r="B36" s="354"/>
      <c r="C36" s="354"/>
      <c r="D36" s="359"/>
      <c r="E36" s="358" t="s">
        <v>30</v>
      </c>
      <c r="F36" s="358">
        <v>0</v>
      </c>
      <c r="G36" s="358">
        <v>0</v>
      </c>
      <c r="H36" s="358">
        <v>0</v>
      </c>
      <c r="I36" s="358">
        <v>0</v>
      </c>
      <c r="J36" s="354" t="s">
        <v>92</v>
      </c>
      <c r="K36" s="5" t="s">
        <v>93</v>
      </c>
      <c r="L36" s="15">
        <v>0</v>
      </c>
      <c r="M36" s="12">
        <v>0.25</v>
      </c>
      <c r="N36" s="12">
        <v>0.25</v>
      </c>
      <c r="O36" s="12">
        <v>0.25</v>
      </c>
      <c r="P36" s="12">
        <v>0.25</v>
      </c>
      <c r="Q36" s="12">
        <v>0</v>
      </c>
      <c r="R36" s="12">
        <v>0</v>
      </c>
      <c r="S36" s="35">
        <v>0</v>
      </c>
      <c r="T36" s="35">
        <v>0</v>
      </c>
      <c r="U36" s="35">
        <f>0</f>
        <v>0</v>
      </c>
      <c r="V36" s="35">
        <f>L36+U36</f>
        <v>0</v>
      </c>
      <c r="W36" s="35"/>
      <c r="X36" s="314" t="s">
        <v>163</v>
      </c>
      <c r="Y36" s="8" t="s">
        <v>164</v>
      </c>
      <c r="Z36" s="35">
        <v>0</v>
      </c>
      <c r="AA36" s="35">
        <v>0</v>
      </c>
      <c r="AB36" s="35">
        <v>0</v>
      </c>
      <c r="AC36" s="35">
        <v>0</v>
      </c>
      <c r="AD36" s="108">
        <f>0/0.25</f>
        <v>0</v>
      </c>
      <c r="AE36" s="342"/>
      <c r="AF36" s="8" t="s">
        <v>230</v>
      </c>
      <c r="AG36" s="8">
        <v>0</v>
      </c>
      <c r="AH36" s="8" t="s">
        <v>231</v>
      </c>
      <c r="AI36" s="29" t="s">
        <v>274</v>
      </c>
      <c r="AJ36" s="205" t="s">
        <v>556</v>
      </c>
      <c r="AK36" s="143" t="s">
        <v>557</v>
      </c>
      <c r="AL36" s="199" t="s">
        <v>558</v>
      </c>
      <c r="AM36" s="225">
        <v>10147700121</v>
      </c>
      <c r="AN36" s="225">
        <v>948594705</v>
      </c>
      <c r="AO36" s="172">
        <f t="shared" si="3"/>
        <v>9.3478787674947689E-2</v>
      </c>
      <c r="AP36" s="280"/>
      <c r="AQ36" s="287" t="s">
        <v>275</v>
      </c>
      <c r="AR36" s="269" t="s">
        <v>290</v>
      </c>
      <c r="AS36" s="269" t="s">
        <v>291</v>
      </c>
      <c r="AT36" s="267">
        <f>525363559+812829877+7308462702+2839237419+52065612</f>
        <v>11537959169</v>
      </c>
      <c r="AU36" s="267">
        <v>256900000</v>
      </c>
      <c r="AV36" s="267">
        <v>310674500</v>
      </c>
      <c r="AW36" s="267">
        <f>934294705+308274500</f>
        <v>1242569205</v>
      </c>
      <c r="AX36" s="267">
        <f>948594705+308274500</f>
        <v>1256869205</v>
      </c>
      <c r="AY36" s="47"/>
      <c r="AZ36" s="12"/>
      <c r="BA36" s="12"/>
      <c r="BB36" s="12"/>
    </row>
    <row r="37" spans="1:54" ht="75" customHeight="1" x14ac:dyDescent="0.25">
      <c r="A37" s="354"/>
      <c r="B37" s="354"/>
      <c r="C37" s="354"/>
      <c r="D37" s="359"/>
      <c r="E37" s="358" t="s">
        <v>31</v>
      </c>
      <c r="F37" s="358">
        <v>0</v>
      </c>
      <c r="G37" s="358">
        <v>0</v>
      </c>
      <c r="H37" s="358">
        <v>0</v>
      </c>
      <c r="I37" s="358">
        <v>0</v>
      </c>
      <c r="J37" s="354"/>
      <c r="K37" s="5" t="s">
        <v>94</v>
      </c>
      <c r="L37" s="15">
        <v>0</v>
      </c>
      <c r="M37" s="12">
        <v>0.25</v>
      </c>
      <c r="N37" s="12">
        <v>0.25</v>
      </c>
      <c r="O37" s="12">
        <v>0.25</v>
      </c>
      <c r="P37" s="12">
        <v>0.25</v>
      </c>
      <c r="Q37" s="12">
        <v>0</v>
      </c>
      <c r="R37" s="12">
        <v>0</v>
      </c>
      <c r="S37" s="35">
        <v>0</v>
      </c>
      <c r="T37" s="35">
        <v>0</v>
      </c>
      <c r="U37" s="35">
        <f>0</f>
        <v>0</v>
      </c>
      <c r="V37" s="35">
        <f>L37+U37</f>
        <v>0</v>
      </c>
      <c r="W37" s="35"/>
      <c r="X37" s="314"/>
      <c r="Y37" s="8" t="s">
        <v>165</v>
      </c>
      <c r="Z37" s="35">
        <v>0</v>
      </c>
      <c r="AA37" s="35">
        <v>0</v>
      </c>
      <c r="AB37" s="35">
        <v>0</v>
      </c>
      <c r="AC37" s="35">
        <v>0</v>
      </c>
      <c r="AD37" s="108">
        <f>0/0.25</f>
        <v>0</v>
      </c>
      <c r="AE37" s="342"/>
      <c r="AF37" s="8" t="s">
        <v>232</v>
      </c>
      <c r="AG37" s="8">
        <v>0</v>
      </c>
      <c r="AH37" s="8" t="s">
        <v>231</v>
      </c>
      <c r="AI37" s="29" t="s">
        <v>274</v>
      </c>
      <c r="AJ37" s="206" t="s">
        <v>559</v>
      </c>
      <c r="AK37" s="227" t="s">
        <v>560</v>
      </c>
      <c r="AL37" s="199" t="s">
        <v>561</v>
      </c>
      <c r="AM37" s="209">
        <v>525363559</v>
      </c>
      <c r="AN37" s="209">
        <v>308274500</v>
      </c>
      <c r="AO37" s="172"/>
      <c r="AP37" s="280"/>
      <c r="AQ37" s="287"/>
      <c r="AR37" s="272"/>
      <c r="AS37" s="272"/>
      <c r="AT37" s="268"/>
      <c r="AU37" s="268"/>
      <c r="AV37" s="268"/>
      <c r="AW37" s="268"/>
      <c r="AX37" s="268"/>
      <c r="AY37" s="47"/>
      <c r="AZ37" s="12"/>
      <c r="BA37" s="12"/>
      <c r="BB37" s="12"/>
    </row>
    <row r="38" spans="1:54" ht="114.75" customHeight="1" x14ac:dyDescent="0.25">
      <c r="A38" s="354"/>
      <c r="B38" s="354"/>
      <c r="C38" s="354"/>
      <c r="D38" s="359"/>
      <c r="E38" s="358" t="s">
        <v>32</v>
      </c>
      <c r="F38" s="358">
        <v>0</v>
      </c>
      <c r="G38" s="358">
        <v>0</v>
      </c>
      <c r="H38" s="358">
        <v>0</v>
      </c>
      <c r="I38" s="358">
        <v>0</v>
      </c>
      <c r="J38" s="354"/>
      <c r="K38" s="5" t="s">
        <v>95</v>
      </c>
      <c r="L38" s="15">
        <v>3</v>
      </c>
      <c r="M38" s="15">
        <v>3</v>
      </c>
      <c r="N38" s="15">
        <v>3</v>
      </c>
      <c r="O38" s="15">
        <v>3</v>
      </c>
      <c r="P38" s="15">
        <v>3</v>
      </c>
      <c r="Q38" s="12">
        <v>0</v>
      </c>
      <c r="R38" s="55">
        <v>3</v>
      </c>
      <c r="S38" s="35">
        <v>0</v>
      </c>
      <c r="T38" s="35">
        <v>0</v>
      </c>
      <c r="U38" s="35">
        <f>R38</f>
        <v>3</v>
      </c>
      <c r="V38" s="35">
        <f>L38+U38</f>
        <v>6</v>
      </c>
      <c r="W38" s="35"/>
      <c r="X38" s="314"/>
      <c r="Y38" s="29" t="s">
        <v>166</v>
      </c>
      <c r="Z38" s="35">
        <v>0</v>
      </c>
      <c r="AA38" s="35">
        <v>3</v>
      </c>
      <c r="AB38" s="35">
        <v>0</v>
      </c>
      <c r="AC38" s="35">
        <v>0</v>
      </c>
      <c r="AD38" s="108">
        <f>AA38/AH38</f>
        <v>1</v>
      </c>
      <c r="AE38" s="343"/>
      <c r="AF38" s="29" t="s">
        <v>233</v>
      </c>
      <c r="AG38" s="39">
        <v>3</v>
      </c>
      <c r="AH38" s="8">
        <v>3</v>
      </c>
      <c r="AI38" s="29" t="s">
        <v>274</v>
      </c>
      <c r="AJ38" s="206" t="s">
        <v>562</v>
      </c>
      <c r="AK38" s="227" t="s">
        <v>560</v>
      </c>
      <c r="AL38" s="202" t="s">
        <v>291</v>
      </c>
      <c r="AM38" s="209">
        <v>52065612</v>
      </c>
      <c r="AN38" s="221">
        <v>0</v>
      </c>
      <c r="AO38" s="173"/>
      <c r="AP38" s="280"/>
      <c r="AQ38" s="287"/>
      <c r="AR38" s="272"/>
      <c r="AS38" s="272"/>
      <c r="AT38" s="268"/>
      <c r="AU38" s="268"/>
      <c r="AV38" s="268"/>
      <c r="AW38" s="268"/>
      <c r="AX38" s="268"/>
      <c r="AY38" s="47"/>
      <c r="AZ38" s="54" t="s">
        <v>376</v>
      </c>
      <c r="BA38" s="54"/>
      <c r="BB38" s="12"/>
    </row>
    <row r="39" spans="1:54" ht="114.75" customHeight="1" x14ac:dyDescent="0.25">
      <c r="A39" s="354"/>
      <c r="B39" s="354"/>
      <c r="C39" s="354"/>
      <c r="D39" s="360"/>
      <c r="E39" s="358"/>
      <c r="F39" s="358"/>
      <c r="G39" s="358"/>
      <c r="H39" s="358"/>
      <c r="I39" s="358"/>
      <c r="J39" s="361"/>
      <c r="K39" s="198"/>
      <c r="L39" s="15"/>
      <c r="M39" s="15"/>
      <c r="N39" s="15"/>
      <c r="O39" s="15"/>
      <c r="P39" s="15"/>
      <c r="Q39" s="12"/>
      <c r="R39" s="55"/>
      <c r="S39" s="35"/>
      <c r="T39" s="35"/>
      <c r="U39" s="43"/>
      <c r="V39" s="43"/>
      <c r="W39" s="43"/>
      <c r="X39" s="197"/>
      <c r="Y39" s="199"/>
      <c r="Z39" s="35"/>
      <c r="AA39" s="35"/>
      <c r="AB39" s="35"/>
      <c r="AC39" s="35"/>
      <c r="AD39" s="108"/>
      <c r="AE39" s="203"/>
      <c r="AF39" s="199"/>
      <c r="AG39" s="39"/>
      <c r="AH39" s="200"/>
      <c r="AI39" s="199"/>
      <c r="AJ39" s="206" t="s">
        <v>563</v>
      </c>
      <c r="AK39" s="227" t="s">
        <v>564</v>
      </c>
      <c r="AL39" s="202"/>
      <c r="AM39" s="209">
        <v>1</v>
      </c>
      <c r="AN39" s="221">
        <v>0</v>
      </c>
      <c r="AO39" s="173"/>
      <c r="AP39" s="280"/>
      <c r="AQ39" s="201"/>
      <c r="AR39" s="196"/>
      <c r="AS39" s="196"/>
      <c r="AT39" s="195"/>
      <c r="AU39" s="195"/>
      <c r="AV39" s="195"/>
      <c r="AW39" s="195"/>
      <c r="AX39" s="195"/>
      <c r="AY39" s="47"/>
      <c r="AZ39" s="54"/>
      <c r="BA39" s="54"/>
      <c r="BB39" s="12"/>
    </row>
    <row r="40" spans="1:54" ht="114.75" customHeight="1" x14ac:dyDescent="0.25">
      <c r="A40" s="354"/>
      <c r="B40" s="354"/>
      <c r="C40" s="354"/>
      <c r="D40" s="360"/>
      <c r="E40" s="358"/>
      <c r="F40" s="358"/>
      <c r="G40" s="358"/>
      <c r="H40" s="358"/>
      <c r="I40" s="358"/>
      <c r="J40" s="361"/>
      <c r="K40" s="198"/>
      <c r="L40" s="15"/>
      <c r="M40" s="15"/>
      <c r="N40" s="15"/>
      <c r="O40" s="15"/>
      <c r="P40" s="15"/>
      <c r="Q40" s="12"/>
      <c r="R40" s="55"/>
      <c r="S40" s="35"/>
      <c r="T40" s="35"/>
      <c r="U40" s="43"/>
      <c r="V40" s="43"/>
      <c r="W40" s="43"/>
      <c r="X40" s="197"/>
      <c r="Y40" s="199"/>
      <c r="Z40" s="35"/>
      <c r="AA40" s="35"/>
      <c r="AB40" s="35"/>
      <c r="AC40" s="35"/>
      <c r="AD40" s="108"/>
      <c r="AE40" s="203"/>
      <c r="AF40" s="199"/>
      <c r="AG40" s="39"/>
      <c r="AH40" s="200"/>
      <c r="AI40" s="199"/>
      <c r="AJ40" s="206" t="s">
        <v>565</v>
      </c>
      <c r="AK40" s="227" t="s">
        <v>566</v>
      </c>
      <c r="AL40" s="202" t="s">
        <v>567</v>
      </c>
      <c r="AM40" s="209">
        <v>220000000</v>
      </c>
      <c r="AN40" s="209">
        <v>197850000</v>
      </c>
      <c r="AO40" s="173">
        <f>AN40/AM40</f>
        <v>0.89931818181818179</v>
      </c>
      <c r="AP40" s="281"/>
      <c r="AQ40" s="201"/>
      <c r="AR40" s="196"/>
      <c r="AS40" s="196"/>
      <c r="AT40" s="195"/>
      <c r="AU40" s="195"/>
      <c r="AV40" s="195"/>
      <c r="AW40" s="195"/>
      <c r="AX40" s="195"/>
      <c r="AY40" s="47"/>
      <c r="AZ40" s="54"/>
      <c r="BA40" s="54"/>
      <c r="BB40" s="12"/>
    </row>
    <row r="41" spans="1:54" ht="114.75" customHeight="1" x14ac:dyDescent="0.25">
      <c r="A41" s="354"/>
      <c r="B41" s="354"/>
      <c r="C41" s="354"/>
      <c r="D41" s="360"/>
      <c r="E41" s="358"/>
      <c r="F41" s="358"/>
      <c r="G41" s="358"/>
      <c r="H41" s="358"/>
      <c r="I41" s="358"/>
      <c r="J41" s="361"/>
      <c r="K41" s="218"/>
      <c r="L41" s="15"/>
      <c r="M41" s="15"/>
      <c r="N41" s="15"/>
      <c r="O41" s="15"/>
      <c r="P41" s="15"/>
      <c r="Q41" s="12"/>
      <c r="R41" s="55"/>
      <c r="S41" s="35"/>
      <c r="T41" s="35"/>
      <c r="U41" s="43"/>
      <c r="V41" s="43"/>
      <c r="W41" s="43"/>
      <c r="X41" s="224"/>
      <c r="Y41" s="220"/>
      <c r="Z41" s="35"/>
      <c r="AA41" s="35"/>
      <c r="AB41" s="35"/>
      <c r="AC41" s="35"/>
      <c r="AD41" s="108"/>
      <c r="AE41" s="215"/>
      <c r="AF41" s="220"/>
      <c r="AG41" s="39"/>
      <c r="AH41" s="219"/>
      <c r="AI41" s="220"/>
      <c r="AJ41" s="206"/>
      <c r="AK41" s="227"/>
      <c r="AL41" s="221"/>
      <c r="AM41" s="234"/>
      <c r="AN41" s="234"/>
      <c r="AO41" s="173"/>
      <c r="AP41" s="223"/>
      <c r="AQ41" s="222"/>
      <c r="AR41" s="214"/>
      <c r="AS41" s="214"/>
      <c r="AT41" s="216"/>
      <c r="AU41" s="216"/>
      <c r="AV41" s="216"/>
      <c r="AW41" s="216"/>
      <c r="AX41" s="216"/>
      <c r="AY41" s="47"/>
      <c r="AZ41" s="54"/>
      <c r="BA41" s="54"/>
      <c r="BB41" s="12"/>
    </row>
    <row r="42" spans="1:54" ht="121.5" customHeight="1" x14ac:dyDescent="0.25">
      <c r="A42" s="354"/>
      <c r="B42" s="354"/>
      <c r="C42" s="354"/>
      <c r="D42" s="362" t="s">
        <v>33</v>
      </c>
      <c r="E42" s="363" t="s">
        <v>34</v>
      </c>
      <c r="F42" s="358" t="s">
        <v>334</v>
      </c>
      <c r="G42" s="358" t="s">
        <v>403</v>
      </c>
      <c r="H42" s="358" t="s">
        <v>442</v>
      </c>
      <c r="I42" s="358" t="s">
        <v>457</v>
      </c>
      <c r="J42" s="362" t="s">
        <v>96</v>
      </c>
      <c r="K42" s="6" t="s">
        <v>136</v>
      </c>
      <c r="L42" s="15">
        <v>2</v>
      </c>
      <c r="M42" s="21">
        <v>1</v>
      </c>
      <c r="N42" s="21">
        <v>1</v>
      </c>
      <c r="O42" s="21">
        <v>1</v>
      </c>
      <c r="P42" s="21">
        <v>1</v>
      </c>
      <c r="Q42" s="12">
        <v>0</v>
      </c>
      <c r="R42" s="12">
        <v>0</v>
      </c>
      <c r="S42" s="35">
        <v>1</v>
      </c>
      <c r="T42" s="35">
        <v>0</v>
      </c>
      <c r="U42" s="43">
        <f>S42</f>
        <v>1</v>
      </c>
      <c r="V42" s="43">
        <f>L42+U42</f>
        <v>3</v>
      </c>
      <c r="W42" s="43"/>
      <c r="X42" s="284" t="s">
        <v>167</v>
      </c>
      <c r="Y42" s="8" t="s">
        <v>205</v>
      </c>
      <c r="Z42" s="35">
        <v>0</v>
      </c>
      <c r="AA42" s="35">
        <v>0</v>
      </c>
      <c r="AB42" s="35">
        <v>41</v>
      </c>
      <c r="AC42" s="35">
        <v>0</v>
      </c>
      <c r="AD42" s="108">
        <f>AB42/AH42</f>
        <v>1</v>
      </c>
      <c r="AE42" s="318">
        <f>SUM(AD42:AD48)/(7)</f>
        <v>1</v>
      </c>
      <c r="AF42" s="8" t="s">
        <v>234</v>
      </c>
      <c r="AG42" s="8">
        <v>41</v>
      </c>
      <c r="AH42" s="8">
        <v>41</v>
      </c>
      <c r="AI42" s="29" t="s">
        <v>274</v>
      </c>
      <c r="AJ42" s="206" t="s">
        <v>475</v>
      </c>
      <c r="AK42" s="143" t="s">
        <v>476</v>
      </c>
      <c r="AL42" s="167" t="s">
        <v>277</v>
      </c>
      <c r="AM42" s="204">
        <v>5174889560</v>
      </c>
      <c r="AN42" s="236">
        <v>5065243893.3100004</v>
      </c>
      <c r="AO42" s="175">
        <f>AN42/AM42</f>
        <v>0.97881197938260933</v>
      </c>
      <c r="AP42" s="273">
        <f>(10332457221)/(10612230656)</f>
        <v>0.97363669862925373</v>
      </c>
      <c r="AQ42" s="321" t="s">
        <v>447</v>
      </c>
      <c r="AR42" s="269" t="s">
        <v>305</v>
      </c>
      <c r="AS42" s="269" t="s">
        <v>306</v>
      </c>
      <c r="AT42" s="269">
        <v>8800000000</v>
      </c>
      <c r="AU42" s="269" t="s">
        <v>343</v>
      </c>
      <c r="AV42" s="269" t="s">
        <v>343</v>
      </c>
      <c r="AW42" s="335">
        <f>4989171239+145000000+135000000+2493606664</f>
        <v>7762777903</v>
      </c>
      <c r="AX42" s="269" t="s">
        <v>343</v>
      </c>
      <c r="AY42" s="47" t="s">
        <v>312</v>
      </c>
      <c r="AZ42" s="12" t="s">
        <v>367</v>
      </c>
      <c r="BA42" s="54" t="s">
        <v>424</v>
      </c>
      <c r="BB42" s="12"/>
    </row>
    <row r="43" spans="1:54" ht="107.25" customHeight="1" x14ac:dyDescent="0.25">
      <c r="A43" s="354"/>
      <c r="B43" s="354"/>
      <c r="C43" s="354"/>
      <c r="D43" s="364"/>
      <c r="E43" s="359" t="s">
        <v>35</v>
      </c>
      <c r="F43" s="357" t="s">
        <v>341</v>
      </c>
      <c r="G43" s="357" t="s">
        <v>402</v>
      </c>
      <c r="H43" s="357" t="s">
        <v>443</v>
      </c>
      <c r="I43" s="357" t="s">
        <v>458</v>
      </c>
      <c r="J43" s="364"/>
      <c r="K43" s="6" t="s">
        <v>135</v>
      </c>
      <c r="L43" s="16" t="s">
        <v>301</v>
      </c>
      <c r="M43" s="21">
        <v>0</v>
      </c>
      <c r="N43" s="21">
        <v>15</v>
      </c>
      <c r="O43" s="21">
        <v>15</v>
      </c>
      <c r="P43" s="21">
        <v>10</v>
      </c>
      <c r="Q43" s="12">
        <v>0</v>
      </c>
      <c r="R43" s="12">
        <v>0</v>
      </c>
      <c r="S43" s="33">
        <v>15</v>
      </c>
      <c r="T43" s="33">
        <v>0</v>
      </c>
      <c r="U43" s="119">
        <f>S43</f>
        <v>15</v>
      </c>
      <c r="V43" s="119">
        <f>15+U43</f>
        <v>30</v>
      </c>
      <c r="W43" s="119"/>
      <c r="X43" s="285"/>
      <c r="Y43" s="8" t="s">
        <v>168</v>
      </c>
      <c r="Z43" s="35">
        <v>0</v>
      </c>
      <c r="AA43" s="35">
        <v>0</v>
      </c>
      <c r="AB43" s="33">
        <v>15</v>
      </c>
      <c r="AC43" s="33">
        <v>0</v>
      </c>
      <c r="AD43" s="107">
        <f>AB43/AH43</f>
        <v>1</v>
      </c>
      <c r="AE43" s="344"/>
      <c r="AF43" s="8" t="s">
        <v>235</v>
      </c>
      <c r="AG43" s="8" t="s">
        <v>236</v>
      </c>
      <c r="AH43" s="8">
        <v>15</v>
      </c>
      <c r="AI43" s="29" t="s">
        <v>274</v>
      </c>
      <c r="AJ43" s="206" t="s">
        <v>477</v>
      </c>
      <c r="AK43" s="143" t="s">
        <v>478</v>
      </c>
      <c r="AL43" s="167" t="s">
        <v>277</v>
      </c>
      <c r="AM43" s="209">
        <v>2500000000</v>
      </c>
      <c r="AN43" s="207">
        <v>2493606664</v>
      </c>
      <c r="AO43" s="175">
        <f>AN43/AM43</f>
        <v>0.99744266559999994</v>
      </c>
      <c r="AP43" s="274"/>
      <c r="AQ43" s="322"/>
      <c r="AR43" s="272"/>
      <c r="AS43" s="272"/>
      <c r="AT43" s="272"/>
      <c r="AU43" s="272"/>
      <c r="AV43" s="272"/>
      <c r="AW43" s="336"/>
      <c r="AX43" s="272"/>
      <c r="AY43" s="47" t="s">
        <v>312</v>
      </c>
      <c r="AZ43" s="12"/>
      <c r="BA43" s="54" t="s">
        <v>425</v>
      </c>
      <c r="BB43" s="12"/>
    </row>
    <row r="44" spans="1:54" ht="109.5" customHeight="1" x14ac:dyDescent="0.25">
      <c r="A44" s="354"/>
      <c r="B44" s="354"/>
      <c r="C44" s="354"/>
      <c r="D44" s="364"/>
      <c r="E44" s="359"/>
      <c r="F44" s="353"/>
      <c r="G44" s="353"/>
      <c r="H44" s="353"/>
      <c r="I44" s="353"/>
      <c r="J44" s="364"/>
      <c r="K44" s="6" t="s">
        <v>134</v>
      </c>
      <c r="L44" s="15">
        <v>57</v>
      </c>
      <c r="M44" s="21">
        <v>15</v>
      </c>
      <c r="N44" s="21">
        <v>35</v>
      </c>
      <c r="O44" s="21">
        <v>35</v>
      </c>
      <c r="P44" s="21">
        <v>35</v>
      </c>
      <c r="Q44" s="12">
        <v>10</v>
      </c>
      <c r="R44" s="12">
        <v>22</v>
      </c>
      <c r="S44" s="35">
        <v>24</v>
      </c>
      <c r="T44" s="35">
        <v>0</v>
      </c>
      <c r="U44" s="121">
        <f>(Q44+R44+S44)</f>
        <v>56</v>
      </c>
      <c r="V44" s="121">
        <f>L44+U44</f>
        <v>113</v>
      </c>
      <c r="W44" s="121"/>
      <c r="X44" s="285"/>
      <c r="Y44" s="88" t="s">
        <v>204</v>
      </c>
      <c r="Z44" s="35">
        <v>10</v>
      </c>
      <c r="AA44" s="35">
        <v>22</v>
      </c>
      <c r="AB44" s="35">
        <v>24</v>
      </c>
      <c r="AC44" s="35">
        <v>0</v>
      </c>
      <c r="AD44" s="108">
        <f>100%</f>
        <v>1</v>
      </c>
      <c r="AE44" s="344"/>
      <c r="AF44" s="8" t="s">
        <v>237</v>
      </c>
      <c r="AG44" s="8">
        <v>41</v>
      </c>
      <c r="AH44" s="8">
        <v>35</v>
      </c>
      <c r="AI44" s="29" t="s">
        <v>274</v>
      </c>
      <c r="AJ44" s="205" t="s">
        <v>570</v>
      </c>
      <c r="AK44" s="143" t="s">
        <v>571</v>
      </c>
      <c r="AL44" s="220" t="s">
        <v>572</v>
      </c>
      <c r="AM44" s="204">
        <v>145000000</v>
      </c>
      <c r="AN44" s="204">
        <v>145000000</v>
      </c>
      <c r="AO44" s="175">
        <f>AN44/AM44</f>
        <v>1</v>
      </c>
      <c r="AP44" s="274"/>
      <c r="AQ44" s="322"/>
      <c r="AR44" s="272"/>
      <c r="AS44" s="272"/>
      <c r="AT44" s="272"/>
      <c r="AU44" s="272"/>
      <c r="AV44" s="272"/>
      <c r="AW44" s="336"/>
      <c r="AX44" s="272"/>
      <c r="AY44" s="51" t="s">
        <v>359</v>
      </c>
      <c r="AZ44" s="12"/>
      <c r="BA44" s="12"/>
      <c r="BB44" s="12"/>
    </row>
    <row r="45" spans="1:54" ht="109.5" customHeight="1" x14ac:dyDescent="0.25">
      <c r="A45" s="354"/>
      <c r="B45" s="354"/>
      <c r="C45" s="354"/>
      <c r="D45" s="364"/>
      <c r="E45" s="363"/>
      <c r="F45" s="358"/>
      <c r="G45" s="358"/>
      <c r="H45" s="358"/>
      <c r="I45" s="358"/>
      <c r="J45" s="364"/>
      <c r="K45" s="315" t="s">
        <v>437</v>
      </c>
      <c r="L45" s="15"/>
      <c r="M45" s="15"/>
      <c r="N45" s="15"/>
      <c r="O45" s="15"/>
      <c r="P45" s="15"/>
      <c r="Q45" s="15"/>
      <c r="R45" s="15"/>
      <c r="S45" s="15"/>
      <c r="T45" s="33">
        <v>7</v>
      </c>
      <c r="U45" s="119"/>
      <c r="V45" s="119"/>
      <c r="W45" s="119"/>
      <c r="X45" s="285"/>
      <c r="Y45" s="85" t="s">
        <v>428</v>
      </c>
      <c r="Z45" s="35">
        <v>0</v>
      </c>
      <c r="AA45" s="35">
        <v>0</v>
      </c>
      <c r="AB45" s="33">
        <v>13</v>
      </c>
      <c r="AC45" s="33">
        <v>7</v>
      </c>
      <c r="AD45" s="107">
        <f>(AB45+AC45)/(AH45)</f>
        <v>1</v>
      </c>
      <c r="AE45" s="344"/>
      <c r="AF45" s="219" t="s">
        <v>432</v>
      </c>
      <c r="AG45" s="219">
        <v>0</v>
      </c>
      <c r="AH45" s="219">
        <v>20</v>
      </c>
      <c r="AI45" s="79" t="s">
        <v>274</v>
      </c>
      <c r="AJ45" s="205" t="s">
        <v>573</v>
      </c>
      <c r="AK45" s="143" t="s">
        <v>571</v>
      </c>
      <c r="AL45" s="220" t="s">
        <v>574</v>
      </c>
      <c r="AM45" s="204">
        <v>135000000</v>
      </c>
      <c r="AN45" s="204">
        <v>135000000</v>
      </c>
      <c r="AO45" s="175">
        <f>AN45/AM45</f>
        <v>1</v>
      </c>
      <c r="AP45" s="274"/>
      <c r="AQ45" s="322"/>
      <c r="AR45" s="272"/>
      <c r="AS45" s="272"/>
      <c r="AT45" s="272"/>
      <c r="AU45" s="272"/>
      <c r="AV45" s="272"/>
      <c r="AW45" s="336"/>
      <c r="AX45" s="272"/>
      <c r="AY45" s="51"/>
      <c r="AZ45" s="12"/>
      <c r="BA45" s="12"/>
      <c r="BB45" s="12"/>
    </row>
    <row r="46" spans="1:54" ht="74.25" customHeight="1" x14ac:dyDescent="0.25">
      <c r="A46" s="354"/>
      <c r="B46" s="354"/>
      <c r="C46" s="354"/>
      <c r="D46" s="364"/>
      <c r="E46" s="363"/>
      <c r="F46" s="358"/>
      <c r="G46" s="358"/>
      <c r="H46" s="358"/>
      <c r="I46" s="358"/>
      <c r="J46" s="364"/>
      <c r="K46" s="316"/>
      <c r="L46" s="15"/>
      <c r="M46" s="15"/>
      <c r="N46" s="15"/>
      <c r="O46" s="15"/>
      <c r="P46" s="15"/>
      <c r="Q46" s="15"/>
      <c r="R46" s="15"/>
      <c r="S46" s="15"/>
      <c r="T46" s="35">
        <v>0</v>
      </c>
      <c r="U46" s="121"/>
      <c r="V46" s="121"/>
      <c r="W46" s="121"/>
      <c r="X46" s="285"/>
      <c r="Y46" s="85" t="s">
        <v>429</v>
      </c>
      <c r="Z46" s="35">
        <v>0</v>
      </c>
      <c r="AA46" s="35">
        <v>0</v>
      </c>
      <c r="AB46" s="35">
        <v>37</v>
      </c>
      <c r="AC46" s="35">
        <v>0</v>
      </c>
      <c r="AD46" s="108">
        <f>100%</f>
        <v>1</v>
      </c>
      <c r="AE46" s="344"/>
      <c r="AF46" s="219" t="s">
        <v>433</v>
      </c>
      <c r="AG46" s="219">
        <v>0</v>
      </c>
      <c r="AH46" s="219">
        <v>33</v>
      </c>
      <c r="AI46" s="79" t="s">
        <v>274</v>
      </c>
      <c r="AJ46" s="205" t="s">
        <v>575</v>
      </c>
      <c r="AK46" s="237" t="s">
        <v>571</v>
      </c>
      <c r="AL46" s="220" t="s">
        <v>567</v>
      </c>
      <c r="AM46" s="204">
        <v>157341096</v>
      </c>
      <c r="AN46" s="204">
        <v>0</v>
      </c>
      <c r="AO46" s="175">
        <f>AN46/AM46</f>
        <v>0</v>
      </c>
      <c r="AP46" s="274"/>
      <c r="AQ46" s="322"/>
      <c r="AR46" s="272"/>
      <c r="AS46" s="272"/>
      <c r="AT46" s="272"/>
      <c r="AU46" s="272"/>
      <c r="AV46" s="272"/>
      <c r="AW46" s="336"/>
      <c r="AX46" s="272"/>
      <c r="AY46" s="51"/>
      <c r="AZ46" s="12"/>
      <c r="BA46" s="12"/>
      <c r="BB46" s="12"/>
    </row>
    <row r="47" spans="1:54" ht="120" customHeight="1" x14ac:dyDescent="0.25">
      <c r="A47" s="354"/>
      <c r="B47" s="354"/>
      <c r="C47" s="354"/>
      <c r="D47" s="364"/>
      <c r="E47" s="363"/>
      <c r="F47" s="358"/>
      <c r="G47" s="358"/>
      <c r="H47" s="358"/>
      <c r="I47" s="358"/>
      <c r="J47" s="364"/>
      <c r="K47" s="316"/>
      <c r="L47" s="15"/>
      <c r="M47" s="15"/>
      <c r="N47" s="15"/>
      <c r="O47" s="15"/>
      <c r="P47" s="15"/>
      <c r="Q47" s="15"/>
      <c r="R47" s="15"/>
      <c r="S47" s="15"/>
      <c r="T47" s="35">
        <v>0</v>
      </c>
      <c r="U47" s="121"/>
      <c r="V47" s="121"/>
      <c r="W47" s="121"/>
      <c r="X47" s="285"/>
      <c r="Y47" s="85" t="s">
        <v>430</v>
      </c>
      <c r="Z47" s="35">
        <v>0</v>
      </c>
      <c r="AA47" s="35">
        <v>0</v>
      </c>
      <c r="AB47" s="35">
        <v>43</v>
      </c>
      <c r="AC47" s="35">
        <v>0</v>
      </c>
      <c r="AD47" s="108">
        <f>AB47/AH47</f>
        <v>1</v>
      </c>
      <c r="AE47" s="344"/>
      <c r="AF47" s="219" t="s">
        <v>434</v>
      </c>
      <c r="AG47" s="219" t="s">
        <v>435</v>
      </c>
      <c r="AH47" s="219">
        <v>43</v>
      </c>
      <c r="AI47" s="79" t="s">
        <v>274</v>
      </c>
      <c r="AJ47" s="205"/>
      <c r="AK47" s="205"/>
      <c r="AL47" s="220"/>
      <c r="AM47" s="238"/>
      <c r="AN47" s="238"/>
      <c r="AO47" s="175"/>
      <c r="AP47" s="274"/>
      <c r="AQ47" s="322"/>
      <c r="AR47" s="272"/>
      <c r="AS47" s="272"/>
      <c r="AT47" s="272"/>
      <c r="AU47" s="272"/>
      <c r="AV47" s="272"/>
      <c r="AW47" s="336"/>
      <c r="AX47" s="272"/>
      <c r="AY47" s="51"/>
      <c r="AZ47" s="12"/>
      <c r="BA47" s="12"/>
      <c r="BB47" s="12"/>
    </row>
    <row r="48" spans="1:54" ht="90" customHeight="1" x14ac:dyDescent="0.25">
      <c r="A48" s="354"/>
      <c r="B48" s="354"/>
      <c r="C48" s="354"/>
      <c r="D48" s="365"/>
      <c r="E48" s="363"/>
      <c r="F48" s="358"/>
      <c r="G48" s="358"/>
      <c r="H48" s="358"/>
      <c r="I48" s="358"/>
      <c r="J48" s="365"/>
      <c r="K48" s="317"/>
      <c r="L48" s="15"/>
      <c r="M48" s="15"/>
      <c r="N48" s="15"/>
      <c r="O48" s="15"/>
      <c r="P48" s="15"/>
      <c r="Q48" s="15"/>
      <c r="R48" s="15"/>
      <c r="S48" s="15"/>
      <c r="T48" s="35">
        <v>0</v>
      </c>
      <c r="U48" s="122"/>
      <c r="V48" s="122"/>
      <c r="W48" s="122"/>
      <c r="X48" s="286"/>
      <c r="Y48" s="85" t="s">
        <v>431</v>
      </c>
      <c r="Z48" s="35">
        <v>0</v>
      </c>
      <c r="AA48" s="35">
        <v>0</v>
      </c>
      <c r="AB48" s="35">
        <v>43</v>
      </c>
      <c r="AC48" s="35">
        <v>0</v>
      </c>
      <c r="AD48" s="108">
        <f>AB48/AH48</f>
        <v>1</v>
      </c>
      <c r="AE48" s="319"/>
      <c r="AF48" s="219" t="s">
        <v>436</v>
      </c>
      <c r="AG48" s="219">
        <v>0</v>
      </c>
      <c r="AH48" s="219">
        <v>43</v>
      </c>
      <c r="AI48" s="79" t="s">
        <v>274</v>
      </c>
      <c r="AJ48" s="164"/>
      <c r="AK48" s="164"/>
      <c r="AL48" s="164"/>
      <c r="AM48" s="164"/>
      <c r="AN48" s="164"/>
      <c r="AO48" s="173"/>
      <c r="AP48" s="275"/>
      <c r="AQ48" s="323"/>
      <c r="AR48" s="270"/>
      <c r="AS48" s="270"/>
      <c r="AT48" s="270"/>
      <c r="AU48" s="270"/>
      <c r="AV48" s="270"/>
      <c r="AW48" s="337"/>
      <c r="AX48" s="270"/>
      <c r="AY48" s="51"/>
      <c r="AZ48" s="12"/>
      <c r="BA48" s="63" t="s">
        <v>438</v>
      </c>
      <c r="BB48" s="12"/>
    </row>
    <row r="49" spans="1:54" s="144" customFormat="1" ht="67.5" customHeight="1" x14ac:dyDescent="0.25">
      <c r="A49" s="354"/>
      <c r="B49" s="354"/>
      <c r="C49" s="354"/>
      <c r="D49" s="362" t="s">
        <v>36</v>
      </c>
      <c r="E49" s="362" t="s">
        <v>37</v>
      </c>
      <c r="F49" s="357">
        <v>0</v>
      </c>
      <c r="G49" s="357">
        <v>0</v>
      </c>
      <c r="H49" s="357">
        <v>0</v>
      </c>
      <c r="I49" s="357">
        <v>0</v>
      </c>
      <c r="J49" s="362" t="s">
        <v>36</v>
      </c>
      <c r="K49" s="139" t="s">
        <v>97</v>
      </c>
      <c r="L49" s="147">
        <v>2</v>
      </c>
      <c r="M49" s="139">
        <v>0</v>
      </c>
      <c r="N49" s="139">
        <v>2</v>
      </c>
      <c r="O49" s="139">
        <v>3</v>
      </c>
      <c r="P49" s="139">
        <v>3</v>
      </c>
      <c r="Q49" s="145">
        <v>2</v>
      </c>
      <c r="R49" s="148">
        <v>1</v>
      </c>
      <c r="S49" s="148">
        <v>0</v>
      </c>
      <c r="T49" s="148">
        <v>7</v>
      </c>
      <c r="U49" s="148">
        <f>(Q49+R49+T49)</f>
        <v>10</v>
      </c>
      <c r="V49" s="148">
        <f t="shared" ref="V49:V56" si="4">L49+U49</f>
        <v>12</v>
      </c>
      <c r="W49" s="148"/>
      <c r="X49" s="314" t="s">
        <v>169</v>
      </c>
      <c r="Y49" s="138" t="s">
        <v>170</v>
      </c>
      <c r="Z49" s="148">
        <v>2</v>
      </c>
      <c r="AA49" s="148">
        <v>1</v>
      </c>
      <c r="AB49" s="148">
        <v>0</v>
      </c>
      <c r="AC49" s="148">
        <v>7</v>
      </c>
      <c r="AD49" s="149">
        <f>100%</f>
        <v>1</v>
      </c>
      <c r="AE49" s="318">
        <f>SUM(AD49:AD50)/(2)</f>
        <v>1</v>
      </c>
      <c r="AF49" s="138" t="s">
        <v>266</v>
      </c>
      <c r="AG49" s="136">
        <v>2</v>
      </c>
      <c r="AH49" s="136">
        <v>3</v>
      </c>
      <c r="AI49" s="138" t="s">
        <v>274</v>
      </c>
      <c r="AJ49" s="311" t="s">
        <v>479</v>
      </c>
      <c r="AK49" s="311" t="s">
        <v>480</v>
      </c>
      <c r="AL49" s="320" t="s">
        <v>277</v>
      </c>
      <c r="AM49" s="276">
        <v>100000001</v>
      </c>
      <c r="AN49" s="276">
        <v>99500000</v>
      </c>
      <c r="AO49" s="273">
        <f>AN49/AM49</f>
        <v>0.99499999005000006</v>
      </c>
      <c r="AP49" s="273">
        <f>AO49</f>
        <v>0.99499999005000006</v>
      </c>
      <c r="AQ49" s="287" t="s">
        <v>447</v>
      </c>
      <c r="AR49" s="269" t="s">
        <v>169</v>
      </c>
      <c r="AS49" s="269" t="s">
        <v>292</v>
      </c>
      <c r="AT49" s="267">
        <v>100000002</v>
      </c>
      <c r="AU49" s="267">
        <v>99500000</v>
      </c>
      <c r="AV49" s="267">
        <v>99500000</v>
      </c>
      <c r="AW49" s="267">
        <v>99500000</v>
      </c>
      <c r="AX49" s="267">
        <v>99500000</v>
      </c>
      <c r="AY49" s="51" t="s">
        <v>313</v>
      </c>
      <c r="AZ49" s="140" t="s">
        <v>398</v>
      </c>
      <c r="BA49" s="75"/>
      <c r="BB49" s="52" t="s">
        <v>445</v>
      </c>
    </row>
    <row r="50" spans="1:54" ht="126.75" customHeight="1" x14ac:dyDescent="0.25">
      <c r="A50" s="354"/>
      <c r="B50" s="354"/>
      <c r="C50" s="354"/>
      <c r="D50" s="365"/>
      <c r="E50" s="365"/>
      <c r="F50" s="353"/>
      <c r="G50" s="353"/>
      <c r="H50" s="353"/>
      <c r="I50" s="353"/>
      <c r="J50" s="365"/>
      <c r="K50" s="95" t="s">
        <v>98</v>
      </c>
      <c r="L50" s="15">
        <v>24</v>
      </c>
      <c r="M50" s="21">
        <v>7</v>
      </c>
      <c r="N50" s="21">
        <v>17</v>
      </c>
      <c r="O50" s="21">
        <v>18</v>
      </c>
      <c r="P50" s="21">
        <v>18</v>
      </c>
      <c r="Q50" s="12">
        <v>10</v>
      </c>
      <c r="R50" s="35">
        <v>22</v>
      </c>
      <c r="S50" s="35">
        <v>26</v>
      </c>
      <c r="T50" s="35">
        <v>13</v>
      </c>
      <c r="U50" s="35">
        <f>(Q50+R50+S50+T50)</f>
        <v>71</v>
      </c>
      <c r="V50" s="35">
        <f t="shared" si="4"/>
        <v>95</v>
      </c>
      <c r="W50" s="35"/>
      <c r="X50" s="314"/>
      <c r="Y50" s="90" t="s">
        <v>171</v>
      </c>
      <c r="Z50" s="35">
        <v>10</v>
      </c>
      <c r="AA50" s="35">
        <v>22</v>
      </c>
      <c r="AB50" s="35">
        <v>26</v>
      </c>
      <c r="AC50" s="35">
        <v>13</v>
      </c>
      <c r="AD50" s="108">
        <f>100%</f>
        <v>1</v>
      </c>
      <c r="AE50" s="319"/>
      <c r="AF50" s="29" t="s">
        <v>267</v>
      </c>
      <c r="AG50" s="8">
        <v>17</v>
      </c>
      <c r="AH50" s="8">
        <v>18</v>
      </c>
      <c r="AI50" s="29" t="s">
        <v>274</v>
      </c>
      <c r="AJ50" s="310"/>
      <c r="AK50" s="310"/>
      <c r="AL50" s="310"/>
      <c r="AM50" s="278"/>
      <c r="AN50" s="278"/>
      <c r="AO50" s="275"/>
      <c r="AP50" s="275"/>
      <c r="AQ50" s="287"/>
      <c r="AR50" s="272"/>
      <c r="AS50" s="272"/>
      <c r="AT50" s="268"/>
      <c r="AU50" s="268"/>
      <c r="AV50" s="268"/>
      <c r="AW50" s="268"/>
      <c r="AX50" s="268"/>
      <c r="AY50" s="51" t="s">
        <v>314</v>
      </c>
      <c r="AZ50" s="51" t="s">
        <v>399</v>
      </c>
      <c r="BA50" s="54" t="s">
        <v>404</v>
      </c>
      <c r="BB50" s="54" t="s">
        <v>446</v>
      </c>
    </row>
    <row r="51" spans="1:54" ht="90.75" customHeight="1" x14ac:dyDescent="0.25">
      <c r="A51" s="354"/>
      <c r="B51" s="354"/>
      <c r="C51" s="354"/>
      <c r="D51" s="359" t="s">
        <v>38</v>
      </c>
      <c r="E51" s="358" t="s">
        <v>39</v>
      </c>
      <c r="F51" s="358" t="s">
        <v>339</v>
      </c>
      <c r="G51" s="358" t="s">
        <v>401</v>
      </c>
      <c r="H51" s="358" t="s">
        <v>444</v>
      </c>
      <c r="I51" s="358" t="s">
        <v>459</v>
      </c>
      <c r="J51" s="359" t="s">
        <v>99</v>
      </c>
      <c r="K51" s="5" t="s">
        <v>100</v>
      </c>
      <c r="L51" s="17">
        <v>1231</v>
      </c>
      <c r="M51" s="21">
        <v>250</v>
      </c>
      <c r="N51" s="21">
        <v>250</v>
      </c>
      <c r="O51" s="21">
        <v>250</v>
      </c>
      <c r="P51" s="21">
        <v>250</v>
      </c>
      <c r="Q51" s="12">
        <v>25</v>
      </c>
      <c r="R51" s="35">
        <v>120</v>
      </c>
      <c r="S51" s="33">
        <v>125</v>
      </c>
      <c r="T51" s="33">
        <v>300</v>
      </c>
      <c r="U51" s="33">
        <f>(Q51+R51+S51+T51)</f>
        <v>570</v>
      </c>
      <c r="V51" s="126">
        <f t="shared" si="4"/>
        <v>1801</v>
      </c>
      <c r="W51" s="126"/>
      <c r="X51" s="314" t="s">
        <v>172</v>
      </c>
      <c r="Y51" s="8" t="s">
        <v>173</v>
      </c>
      <c r="Z51" s="35">
        <v>25</v>
      </c>
      <c r="AA51" s="35">
        <v>120</v>
      </c>
      <c r="AB51" s="33">
        <v>125</v>
      </c>
      <c r="AC51" s="33">
        <v>300</v>
      </c>
      <c r="AD51" s="107">
        <f>100%</f>
        <v>1</v>
      </c>
      <c r="AE51" s="288">
        <f>SUM(AD51:AD57)/(7)</f>
        <v>0.80223186075802455</v>
      </c>
      <c r="AF51" s="8" t="s">
        <v>238</v>
      </c>
      <c r="AG51" s="39">
        <v>341</v>
      </c>
      <c r="AH51" s="39">
        <v>250</v>
      </c>
      <c r="AI51" s="29" t="s">
        <v>274</v>
      </c>
      <c r="AJ51" s="174" t="s">
        <v>481</v>
      </c>
      <c r="AK51" s="174" t="s">
        <v>482</v>
      </c>
      <c r="AL51" s="154" t="s">
        <v>277</v>
      </c>
      <c r="AM51" s="210">
        <v>500000000</v>
      </c>
      <c r="AN51" s="208">
        <v>499996000</v>
      </c>
      <c r="AO51" s="211">
        <f>AN51/AM51</f>
        <v>0.99999199999999999</v>
      </c>
      <c r="AP51" s="273">
        <f>950000000/949996000</f>
        <v>1.0000042105440443</v>
      </c>
      <c r="AQ51" s="287" t="s">
        <v>447</v>
      </c>
      <c r="AR51" s="294" t="s">
        <v>293</v>
      </c>
      <c r="AS51" s="294" t="s">
        <v>277</v>
      </c>
      <c r="AT51" s="264">
        <v>500000000</v>
      </c>
      <c r="AU51" s="264">
        <v>149996000</v>
      </c>
      <c r="AV51" s="264">
        <v>499996000</v>
      </c>
      <c r="AW51" s="264">
        <v>499996000</v>
      </c>
      <c r="AX51" s="264">
        <v>499996000</v>
      </c>
      <c r="AY51" s="47"/>
      <c r="AZ51" s="12"/>
      <c r="BA51" s="12"/>
      <c r="BB51" s="12"/>
    </row>
    <row r="52" spans="1:54" ht="87.75" customHeight="1" x14ac:dyDescent="0.25">
      <c r="A52" s="354"/>
      <c r="B52" s="354"/>
      <c r="C52" s="354"/>
      <c r="D52" s="359"/>
      <c r="E52" s="358" t="s">
        <v>40</v>
      </c>
      <c r="F52" s="358" t="s">
        <v>338</v>
      </c>
      <c r="G52" s="358" t="s">
        <v>338</v>
      </c>
      <c r="H52" s="358" t="s">
        <v>338</v>
      </c>
      <c r="I52" s="358" t="s">
        <v>338</v>
      </c>
      <c r="J52" s="359"/>
      <c r="K52" s="5" t="s">
        <v>101</v>
      </c>
      <c r="L52" s="15">
        <v>68</v>
      </c>
      <c r="M52" s="24">
        <v>10</v>
      </c>
      <c r="N52" s="24">
        <v>23</v>
      </c>
      <c r="O52" s="24">
        <v>24</v>
      </c>
      <c r="P52" s="24">
        <v>23</v>
      </c>
      <c r="Q52" s="12">
        <v>0</v>
      </c>
      <c r="R52" s="35">
        <v>0</v>
      </c>
      <c r="S52" s="33">
        <v>0</v>
      </c>
      <c r="T52" s="33">
        <v>0</v>
      </c>
      <c r="U52" s="33">
        <f>0</f>
        <v>0</v>
      </c>
      <c r="V52" s="33">
        <f t="shared" si="4"/>
        <v>68</v>
      </c>
      <c r="W52" s="33"/>
      <c r="X52" s="314"/>
      <c r="Y52" s="8" t="s">
        <v>174</v>
      </c>
      <c r="Z52" s="35">
        <v>0</v>
      </c>
      <c r="AA52" s="35">
        <v>0</v>
      </c>
      <c r="AB52" s="33">
        <v>0</v>
      </c>
      <c r="AC52" s="33">
        <v>0</v>
      </c>
      <c r="AD52" s="107">
        <f>0/AH52</f>
        <v>0</v>
      </c>
      <c r="AE52" s="289"/>
      <c r="AF52" s="8" t="s">
        <v>239</v>
      </c>
      <c r="AG52" s="39">
        <v>41</v>
      </c>
      <c r="AH52" s="39">
        <v>12</v>
      </c>
      <c r="AI52" s="29" t="s">
        <v>274</v>
      </c>
      <c r="AJ52" s="206" t="s">
        <v>481</v>
      </c>
      <c r="AK52" s="143" t="s">
        <v>483</v>
      </c>
      <c r="AL52" s="167" t="s">
        <v>277</v>
      </c>
      <c r="AM52" s="168">
        <v>450000000</v>
      </c>
      <c r="AN52" s="146">
        <v>450000000</v>
      </c>
      <c r="AO52" s="212">
        <f>AN52/AM52</f>
        <v>1</v>
      </c>
      <c r="AP52" s="275"/>
      <c r="AQ52" s="287"/>
      <c r="AR52" s="295"/>
      <c r="AS52" s="295"/>
      <c r="AT52" s="265"/>
      <c r="AU52" s="265"/>
      <c r="AV52" s="265"/>
      <c r="AW52" s="265"/>
      <c r="AX52" s="265"/>
      <c r="AY52" s="47"/>
      <c r="AZ52" s="72" t="s">
        <v>375</v>
      </c>
      <c r="BA52" s="76" t="s">
        <v>418</v>
      </c>
      <c r="BB52" s="12"/>
    </row>
    <row r="53" spans="1:54" ht="165.75" x14ac:dyDescent="0.25">
      <c r="A53" s="354"/>
      <c r="B53" s="354"/>
      <c r="C53" s="354"/>
      <c r="D53" s="359"/>
      <c r="E53" s="358" t="s">
        <v>41</v>
      </c>
      <c r="F53" s="358" t="s">
        <v>340</v>
      </c>
      <c r="G53" s="358" t="s">
        <v>400</v>
      </c>
      <c r="H53" s="358" t="s">
        <v>414</v>
      </c>
      <c r="I53" s="358" t="s">
        <v>414</v>
      </c>
      <c r="J53" s="359"/>
      <c r="K53" s="5" t="s">
        <v>102</v>
      </c>
      <c r="L53" s="15">
        <v>2</v>
      </c>
      <c r="M53" s="21">
        <v>0</v>
      </c>
      <c r="N53" s="21">
        <v>8</v>
      </c>
      <c r="O53" s="21">
        <v>8</v>
      </c>
      <c r="P53" s="21">
        <v>8</v>
      </c>
      <c r="Q53" s="12">
        <v>1</v>
      </c>
      <c r="R53" s="35">
        <v>0</v>
      </c>
      <c r="S53" s="33">
        <v>0</v>
      </c>
      <c r="T53" s="33">
        <v>14</v>
      </c>
      <c r="U53" s="33">
        <f>(Q53+T53)</f>
        <v>15</v>
      </c>
      <c r="V53" s="33">
        <f t="shared" si="4"/>
        <v>17</v>
      </c>
      <c r="W53" s="33"/>
      <c r="X53" s="314"/>
      <c r="Y53" s="8" t="s">
        <v>175</v>
      </c>
      <c r="Z53" s="35">
        <v>1</v>
      </c>
      <c r="AA53" s="35">
        <v>0</v>
      </c>
      <c r="AB53" s="33">
        <v>0</v>
      </c>
      <c r="AC53" s="33">
        <v>14</v>
      </c>
      <c r="AD53" s="107">
        <f>100%</f>
        <v>1</v>
      </c>
      <c r="AE53" s="289"/>
      <c r="AF53" s="8" t="s">
        <v>240</v>
      </c>
      <c r="AG53" s="39">
        <v>2</v>
      </c>
      <c r="AH53" s="39">
        <v>14</v>
      </c>
      <c r="AI53" s="29" t="s">
        <v>274</v>
      </c>
      <c r="AJ53" s="220"/>
      <c r="AK53" s="220"/>
      <c r="AL53" s="220"/>
      <c r="AM53" s="232"/>
      <c r="AN53" s="232"/>
      <c r="AO53" s="175"/>
      <c r="AP53" s="172"/>
      <c r="AQ53" s="287"/>
      <c r="AR53" s="295"/>
      <c r="AS53" s="295"/>
      <c r="AT53" s="265"/>
      <c r="AU53" s="265"/>
      <c r="AV53" s="265"/>
      <c r="AW53" s="265"/>
      <c r="AX53" s="265"/>
      <c r="AY53" s="50" t="s">
        <v>315</v>
      </c>
      <c r="AZ53" s="72" t="s">
        <v>374</v>
      </c>
      <c r="BA53" s="76" t="s">
        <v>419</v>
      </c>
      <c r="BB53" s="89" t="s">
        <v>448</v>
      </c>
    </row>
    <row r="54" spans="1:54" ht="64.5" customHeight="1" x14ac:dyDescent="0.25">
      <c r="A54" s="354"/>
      <c r="B54" s="354"/>
      <c r="C54" s="354"/>
      <c r="D54" s="359"/>
      <c r="E54" s="354" t="s">
        <v>42</v>
      </c>
      <c r="F54" s="354">
        <v>0</v>
      </c>
      <c r="G54" s="354">
        <v>0</v>
      </c>
      <c r="H54" s="354">
        <v>0</v>
      </c>
      <c r="I54" s="354">
        <v>0</v>
      </c>
      <c r="J54" s="359"/>
      <c r="K54" s="5" t="s">
        <v>103</v>
      </c>
      <c r="L54" s="15">
        <v>14</v>
      </c>
      <c r="M54" s="21">
        <v>0</v>
      </c>
      <c r="N54" s="21">
        <v>8</v>
      </c>
      <c r="O54" s="21">
        <v>8</v>
      </c>
      <c r="P54" s="21">
        <v>8</v>
      </c>
      <c r="Q54" s="12">
        <v>0</v>
      </c>
      <c r="R54" s="35">
        <v>0</v>
      </c>
      <c r="S54" s="33">
        <v>10</v>
      </c>
      <c r="T54" s="33">
        <v>0</v>
      </c>
      <c r="U54" s="33">
        <f>S54</f>
        <v>10</v>
      </c>
      <c r="V54" s="33">
        <f t="shared" si="4"/>
        <v>24</v>
      </c>
      <c r="W54" s="33"/>
      <c r="X54" s="314"/>
      <c r="Y54" s="8" t="s">
        <v>176</v>
      </c>
      <c r="Z54" s="35">
        <v>0</v>
      </c>
      <c r="AA54" s="35">
        <v>0</v>
      </c>
      <c r="AB54" s="33">
        <v>10</v>
      </c>
      <c r="AC54" s="33">
        <v>0</v>
      </c>
      <c r="AD54" s="107">
        <f>AB54/AH54</f>
        <v>1</v>
      </c>
      <c r="AE54" s="289"/>
      <c r="AF54" s="73" t="s">
        <v>241</v>
      </c>
      <c r="AG54" s="39">
        <v>14</v>
      </c>
      <c r="AH54" s="39">
        <v>10</v>
      </c>
      <c r="AI54" s="29" t="s">
        <v>274</v>
      </c>
      <c r="AJ54" s="163"/>
      <c r="AK54" s="163"/>
      <c r="AL54" s="163"/>
      <c r="AM54" s="163"/>
      <c r="AN54" s="163"/>
      <c r="AO54" s="172"/>
      <c r="AP54" s="172"/>
      <c r="AQ54" s="287"/>
      <c r="AR54" s="295"/>
      <c r="AS54" s="295"/>
      <c r="AT54" s="265"/>
      <c r="AU54" s="265"/>
      <c r="AV54" s="265"/>
      <c r="AW54" s="265"/>
      <c r="AX54" s="265"/>
      <c r="AY54" s="53" t="s">
        <v>316</v>
      </c>
      <c r="AZ54" s="72" t="s">
        <v>373</v>
      </c>
      <c r="BA54" s="76" t="s">
        <v>420</v>
      </c>
      <c r="BB54" s="12"/>
    </row>
    <row r="55" spans="1:54" ht="67.5" customHeight="1" x14ac:dyDescent="0.25">
      <c r="A55" s="354"/>
      <c r="B55" s="354"/>
      <c r="C55" s="354"/>
      <c r="D55" s="359"/>
      <c r="E55" s="354"/>
      <c r="F55" s="354"/>
      <c r="G55" s="354"/>
      <c r="H55" s="354"/>
      <c r="I55" s="354"/>
      <c r="J55" s="359"/>
      <c r="K55" s="5" t="s">
        <v>104</v>
      </c>
      <c r="L55" s="15">
        <v>1</v>
      </c>
      <c r="M55" s="21">
        <v>1</v>
      </c>
      <c r="N55" s="21">
        <v>2</v>
      </c>
      <c r="O55" s="21">
        <v>3</v>
      </c>
      <c r="P55" s="21">
        <v>2</v>
      </c>
      <c r="Q55" s="12">
        <v>0</v>
      </c>
      <c r="R55" s="35">
        <v>0</v>
      </c>
      <c r="S55" s="33">
        <v>2</v>
      </c>
      <c r="T55" s="33">
        <v>4</v>
      </c>
      <c r="U55" s="33">
        <f>(S55+T55)</f>
        <v>6</v>
      </c>
      <c r="V55" s="33">
        <f t="shared" si="4"/>
        <v>7</v>
      </c>
      <c r="W55" s="33"/>
      <c r="X55" s="314"/>
      <c r="Y55" s="8" t="s">
        <v>177</v>
      </c>
      <c r="Z55" s="35">
        <v>0</v>
      </c>
      <c r="AA55" s="35">
        <v>0</v>
      </c>
      <c r="AB55" s="33">
        <v>2</v>
      </c>
      <c r="AC55" s="33">
        <v>4</v>
      </c>
      <c r="AD55" s="107">
        <f>100%</f>
        <v>1</v>
      </c>
      <c r="AE55" s="289"/>
      <c r="AF55" s="8" t="s">
        <v>242</v>
      </c>
      <c r="AG55" s="39">
        <v>1</v>
      </c>
      <c r="AH55" s="39">
        <v>4</v>
      </c>
      <c r="AI55" s="29" t="s">
        <v>274</v>
      </c>
      <c r="AJ55" s="163"/>
      <c r="AK55" s="163"/>
      <c r="AL55" s="163"/>
      <c r="AM55" s="163"/>
      <c r="AN55" s="163"/>
      <c r="AO55" s="172"/>
      <c r="AP55" s="172"/>
      <c r="AQ55" s="287"/>
      <c r="AR55" s="296"/>
      <c r="AS55" s="296"/>
      <c r="AT55" s="266"/>
      <c r="AU55" s="266"/>
      <c r="AV55" s="266"/>
      <c r="AW55" s="266"/>
      <c r="AX55" s="266"/>
      <c r="AY55" s="53" t="s">
        <v>318</v>
      </c>
      <c r="AZ55" s="72" t="s">
        <v>372</v>
      </c>
      <c r="BA55" s="72" t="s">
        <v>409</v>
      </c>
      <c r="BB55" s="89" t="s">
        <v>449</v>
      </c>
    </row>
    <row r="56" spans="1:54" ht="108.75" customHeight="1" x14ac:dyDescent="0.25">
      <c r="A56" s="354"/>
      <c r="B56" s="354"/>
      <c r="C56" s="354"/>
      <c r="D56" s="359"/>
      <c r="E56" s="354" t="s">
        <v>43</v>
      </c>
      <c r="F56" s="354">
        <v>0</v>
      </c>
      <c r="G56" s="366">
        <v>42</v>
      </c>
      <c r="H56" s="354">
        <v>0</v>
      </c>
      <c r="I56" s="354">
        <v>0</v>
      </c>
      <c r="J56" s="359" t="s">
        <v>105</v>
      </c>
      <c r="K56" s="283" t="s">
        <v>106</v>
      </c>
      <c r="L56" s="283">
        <v>2</v>
      </c>
      <c r="M56" s="283">
        <v>1</v>
      </c>
      <c r="N56" s="283">
        <v>1</v>
      </c>
      <c r="O56" s="283">
        <v>1</v>
      </c>
      <c r="P56" s="283">
        <v>1</v>
      </c>
      <c r="Q56" s="283">
        <v>0</v>
      </c>
      <c r="R56" s="283">
        <v>0</v>
      </c>
      <c r="S56" s="283">
        <v>0</v>
      </c>
      <c r="T56" s="283">
        <v>1</v>
      </c>
      <c r="U56" s="101">
        <f>T56</f>
        <v>1</v>
      </c>
      <c r="V56" s="101">
        <f t="shared" si="4"/>
        <v>3</v>
      </c>
      <c r="W56" s="101"/>
      <c r="X56" s="314"/>
      <c r="Y56" s="8" t="s">
        <v>178</v>
      </c>
      <c r="Z56" s="35">
        <v>0</v>
      </c>
      <c r="AA56" s="35">
        <v>18</v>
      </c>
      <c r="AB56" s="35">
        <v>129</v>
      </c>
      <c r="AC56" s="35">
        <v>7</v>
      </c>
      <c r="AD56" s="108">
        <f>(AA56+AB56+AC56)/(AH56)</f>
        <v>0.92215568862275454</v>
      </c>
      <c r="AE56" s="289"/>
      <c r="AF56" s="8" t="s">
        <v>243</v>
      </c>
      <c r="AG56" s="39">
        <v>167</v>
      </c>
      <c r="AH56" s="39">
        <v>167</v>
      </c>
      <c r="AI56" s="29" t="s">
        <v>274</v>
      </c>
      <c r="AJ56" s="163"/>
      <c r="AK56" s="163"/>
      <c r="AL56" s="163"/>
      <c r="AM56" s="163"/>
      <c r="AN56" s="163"/>
      <c r="AO56" s="172"/>
      <c r="AP56" s="172"/>
      <c r="AQ56" s="287"/>
      <c r="AR56" s="269" t="s">
        <v>294</v>
      </c>
      <c r="AS56" s="269" t="s">
        <v>277</v>
      </c>
      <c r="AT56" s="267">
        <v>450000000</v>
      </c>
      <c r="AU56" s="269">
        <v>0</v>
      </c>
      <c r="AV56" s="269">
        <v>0</v>
      </c>
      <c r="AW56" s="269">
        <v>0</v>
      </c>
      <c r="AX56" s="267">
        <v>450000000</v>
      </c>
      <c r="AY56" s="329" t="s">
        <v>331</v>
      </c>
      <c r="AZ56" s="282" t="s">
        <v>371</v>
      </c>
      <c r="BA56" s="282" t="s">
        <v>371</v>
      </c>
      <c r="BB56" s="282"/>
    </row>
    <row r="57" spans="1:54" ht="114.75" customHeight="1" x14ac:dyDescent="0.25">
      <c r="A57" s="354"/>
      <c r="B57" s="354"/>
      <c r="C57" s="354"/>
      <c r="D57" s="359"/>
      <c r="E57" s="354"/>
      <c r="F57" s="354"/>
      <c r="G57" s="366"/>
      <c r="H57" s="354"/>
      <c r="I57" s="354"/>
      <c r="J57" s="359"/>
      <c r="K57" s="283"/>
      <c r="L57" s="283"/>
      <c r="M57" s="283">
        <v>0</v>
      </c>
      <c r="N57" s="283">
        <v>1</v>
      </c>
      <c r="O57" s="283">
        <v>0</v>
      </c>
      <c r="P57" s="283">
        <v>0</v>
      </c>
      <c r="Q57" s="283"/>
      <c r="R57" s="283"/>
      <c r="S57" s="283">
        <v>96</v>
      </c>
      <c r="T57" s="283"/>
      <c r="U57" s="101"/>
      <c r="V57" s="101"/>
      <c r="W57" s="101"/>
      <c r="X57" s="314"/>
      <c r="Y57" s="8" t="s">
        <v>179</v>
      </c>
      <c r="Z57" s="35">
        <v>0</v>
      </c>
      <c r="AA57" s="35">
        <v>24</v>
      </c>
      <c r="AB57" s="35">
        <v>96</v>
      </c>
      <c r="AC57" s="35">
        <v>18</v>
      </c>
      <c r="AD57" s="109">
        <f>(AA57+AB57+AC57)/(AH57)</f>
        <v>0.69346733668341709</v>
      </c>
      <c r="AE57" s="290"/>
      <c r="AF57" s="8" t="s">
        <v>244</v>
      </c>
      <c r="AG57" s="39">
        <v>199</v>
      </c>
      <c r="AH57" s="39">
        <v>199</v>
      </c>
      <c r="AI57" s="29" t="s">
        <v>274</v>
      </c>
      <c r="AJ57" s="164"/>
      <c r="AK57" s="164"/>
      <c r="AL57" s="164"/>
      <c r="AM57" s="164"/>
      <c r="AN57" s="164"/>
      <c r="AO57" s="173"/>
      <c r="AP57" s="173"/>
      <c r="AQ57" s="287"/>
      <c r="AR57" s="270"/>
      <c r="AS57" s="270"/>
      <c r="AT57" s="271"/>
      <c r="AU57" s="270"/>
      <c r="AV57" s="270"/>
      <c r="AW57" s="270"/>
      <c r="AX57" s="271"/>
      <c r="AY57" s="330"/>
      <c r="AZ57" s="282"/>
      <c r="BA57" s="282"/>
      <c r="BB57" s="282"/>
    </row>
    <row r="58" spans="1:54" ht="98.25" customHeight="1" x14ac:dyDescent="0.25">
      <c r="A58" s="354"/>
      <c r="B58" s="354"/>
      <c r="C58" s="354" t="s">
        <v>44</v>
      </c>
      <c r="D58" s="359" t="s">
        <v>45</v>
      </c>
      <c r="E58" s="358" t="s">
        <v>46</v>
      </c>
      <c r="F58" s="358">
        <v>0</v>
      </c>
      <c r="G58" s="358">
        <v>0</v>
      </c>
      <c r="H58" s="358">
        <v>0</v>
      </c>
      <c r="I58" s="358">
        <v>0</v>
      </c>
      <c r="J58" s="359" t="s">
        <v>107</v>
      </c>
      <c r="K58" s="5" t="s">
        <v>108</v>
      </c>
      <c r="L58" s="15">
        <v>0</v>
      </c>
      <c r="M58" s="15">
        <v>0</v>
      </c>
      <c r="N58" s="15">
        <v>1</v>
      </c>
      <c r="O58" s="15">
        <v>0</v>
      </c>
      <c r="P58" s="15">
        <v>0</v>
      </c>
      <c r="Q58" s="12">
        <v>1</v>
      </c>
      <c r="R58" s="35">
        <v>0</v>
      </c>
      <c r="S58" s="35">
        <v>0</v>
      </c>
      <c r="T58" s="35">
        <v>0</v>
      </c>
      <c r="U58" s="35">
        <f>Q58</f>
        <v>1</v>
      </c>
      <c r="V58" s="35">
        <f t="shared" ref="V58:V65" si="5">L58+U58</f>
        <v>1</v>
      </c>
      <c r="W58" s="35"/>
      <c r="X58" s="314" t="s">
        <v>180</v>
      </c>
      <c r="Y58" s="8" t="s">
        <v>181</v>
      </c>
      <c r="Z58" s="35">
        <v>1</v>
      </c>
      <c r="AA58" s="35">
        <v>0</v>
      </c>
      <c r="AB58" s="35">
        <v>0</v>
      </c>
      <c r="AC58" s="35">
        <v>0</v>
      </c>
      <c r="AD58" s="108">
        <f>Z58/AH58</f>
        <v>1</v>
      </c>
      <c r="AE58" s="291">
        <f>SUM(AD58:AD68)/(10)</f>
        <v>0.4997915072350857</v>
      </c>
      <c r="AF58" s="8" t="s">
        <v>268</v>
      </c>
      <c r="AG58" s="8">
        <v>0</v>
      </c>
      <c r="AH58" s="8">
        <v>1</v>
      </c>
      <c r="AI58" s="29" t="s">
        <v>274</v>
      </c>
      <c r="AJ58" s="311" t="s">
        <v>484</v>
      </c>
      <c r="AK58" s="311" t="s">
        <v>485</v>
      </c>
      <c r="AL58" s="311" t="s">
        <v>277</v>
      </c>
      <c r="AM58" s="276">
        <v>1500000000</v>
      </c>
      <c r="AN58" s="276">
        <v>1428699480</v>
      </c>
      <c r="AO58" s="273">
        <f>AN58/AM58</f>
        <v>0.95246631999999998</v>
      </c>
      <c r="AP58" s="273">
        <f>AO58</f>
        <v>0.95246631999999998</v>
      </c>
      <c r="AQ58" s="287" t="s">
        <v>447</v>
      </c>
      <c r="AR58" s="269" t="s">
        <v>295</v>
      </c>
      <c r="AS58" s="269" t="s">
        <v>277</v>
      </c>
      <c r="AT58" s="267">
        <v>1500000000</v>
      </c>
      <c r="AU58" s="267">
        <v>411400000</v>
      </c>
      <c r="AV58" s="267">
        <v>1049400000</v>
      </c>
      <c r="AW58" s="267">
        <v>1428699480</v>
      </c>
      <c r="AX58" s="267">
        <v>1428699480</v>
      </c>
      <c r="AY58" s="50" t="s">
        <v>319</v>
      </c>
      <c r="AZ58" s="52" t="s">
        <v>361</v>
      </c>
      <c r="BA58" s="52" t="s">
        <v>408</v>
      </c>
      <c r="BB58" s="12"/>
    </row>
    <row r="59" spans="1:54" ht="123.75" customHeight="1" x14ac:dyDescent="0.25">
      <c r="A59" s="354"/>
      <c r="B59" s="354"/>
      <c r="C59" s="354"/>
      <c r="D59" s="359"/>
      <c r="E59" s="358" t="s">
        <v>377</v>
      </c>
      <c r="F59" s="358">
        <v>0</v>
      </c>
      <c r="G59" s="358">
        <v>0</v>
      </c>
      <c r="H59" s="358">
        <v>0</v>
      </c>
      <c r="I59" s="358">
        <v>0</v>
      </c>
      <c r="J59" s="359"/>
      <c r="K59" s="5" t="s">
        <v>109</v>
      </c>
      <c r="L59" s="15">
        <v>0</v>
      </c>
      <c r="M59" s="15">
        <v>0</v>
      </c>
      <c r="N59" s="15">
        <v>0.5</v>
      </c>
      <c r="O59" s="15">
        <v>0.5</v>
      </c>
      <c r="P59" s="15">
        <v>0</v>
      </c>
      <c r="Q59" s="12">
        <v>0</v>
      </c>
      <c r="R59" s="35">
        <v>0</v>
      </c>
      <c r="S59" s="35">
        <v>0</v>
      </c>
      <c r="T59" s="35">
        <v>0</v>
      </c>
      <c r="U59" s="35">
        <f>0</f>
        <v>0</v>
      </c>
      <c r="V59" s="35">
        <f t="shared" si="5"/>
        <v>0</v>
      </c>
      <c r="W59" s="35"/>
      <c r="X59" s="314"/>
      <c r="Y59" s="8" t="s">
        <v>182</v>
      </c>
      <c r="Z59" s="35">
        <v>0</v>
      </c>
      <c r="AA59" s="35">
        <v>0</v>
      </c>
      <c r="AB59" s="35">
        <v>0</v>
      </c>
      <c r="AC59" s="35">
        <v>0</v>
      </c>
      <c r="AD59" s="108">
        <f>0/0.5</f>
        <v>0</v>
      </c>
      <c r="AE59" s="292"/>
      <c r="AF59" s="8" t="s">
        <v>269</v>
      </c>
      <c r="AG59" s="8">
        <v>0</v>
      </c>
      <c r="AH59" s="40" t="s">
        <v>245</v>
      </c>
      <c r="AI59" s="29" t="s">
        <v>274</v>
      </c>
      <c r="AJ59" s="309"/>
      <c r="AK59" s="309"/>
      <c r="AL59" s="309"/>
      <c r="AM59" s="277"/>
      <c r="AN59" s="277"/>
      <c r="AO59" s="274"/>
      <c r="AP59" s="274"/>
      <c r="AQ59" s="287"/>
      <c r="AR59" s="272"/>
      <c r="AS59" s="272"/>
      <c r="AT59" s="268"/>
      <c r="AU59" s="268"/>
      <c r="AV59" s="268"/>
      <c r="AW59" s="268"/>
      <c r="AX59" s="268"/>
      <c r="AY59" s="50" t="s">
        <v>320</v>
      </c>
      <c r="AZ59" s="52" t="s">
        <v>365</v>
      </c>
      <c r="BA59" s="12"/>
      <c r="BB59" s="12"/>
    </row>
    <row r="60" spans="1:54" ht="91.5" customHeight="1" x14ac:dyDescent="0.25">
      <c r="A60" s="354"/>
      <c r="B60" s="354"/>
      <c r="C60" s="354"/>
      <c r="D60" s="359"/>
      <c r="E60" s="358" t="s">
        <v>47</v>
      </c>
      <c r="F60" s="367">
        <f>9*100/1261</f>
        <v>0.71371927042030137</v>
      </c>
      <c r="G60" s="367">
        <f>68*100/1261</f>
        <v>5.3925455987311661</v>
      </c>
      <c r="H60" s="367">
        <f>77*100/1261</f>
        <v>6.1062648691514667</v>
      </c>
      <c r="I60" s="367">
        <f>66*100/1261</f>
        <v>5.2339413164155433</v>
      </c>
      <c r="J60" s="359"/>
      <c r="K60" s="5" t="s">
        <v>110</v>
      </c>
      <c r="L60" s="15">
        <v>487</v>
      </c>
      <c r="M60" s="20">
        <v>115</v>
      </c>
      <c r="N60" s="20">
        <v>382</v>
      </c>
      <c r="O60" s="20">
        <v>382</v>
      </c>
      <c r="P60" s="20">
        <v>382</v>
      </c>
      <c r="Q60" s="12">
        <v>9</v>
      </c>
      <c r="R60" s="35">
        <v>68</v>
      </c>
      <c r="S60" s="35">
        <v>77</v>
      </c>
      <c r="T60" s="35">
        <v>66</v>
      </c>
      <c r="U60" s="35">
        <f>(Q60+R60+S60+T60)</f>
        <v>220</v>
      </c>
      <c r="V60" s="35">
        <f t="shared" si="5"/>
        <v>707</v>
      </c>
      <c r="W60" s="35"/>
      <c r="X60" s="314"/>
      <c r="Y60" s="34" t="s">
        <v>183</v>
      </c>
      <c r="Z60" s="35">
        <v>9</v>
      </c>
      <c r="AA60" s="35">
        <v>68</v>
      </c>
      <c r="AB60" s="35">
        <v>77</v>
      </c>
      <c r="AC60" s="35">
        <v>66</v>
      </c>
      <c r="AD60" s="110">
        <f>(Z60+AA60+AB60+AC60)/(AH60)</f>
        <v>0.56122448979591832</v>
      </c>
      <c r="AE60" s="292"/>
      <c r="AF60" s="8" t="s">
        <v>246</v>
      </c>
      <c r="AG60" s="8">
        <v>116</v>
      </c>
      <c r="AH60" s="8">
        <v>392</v>
      </c>
      <c r="AI60" s="29" t="s">
        <v>274</v>
      </c>
      <c r="AJ60" s="309"/>
      <c r="AK60" s="309"/>
      <c r="AL60" s="309"/>
      <c r="AM60" s="277"/>
      <c r="AN60" s="277"/>
      <c r="AO60" s="274"/>
      <c r="AP60" s="274"/>
      <c r="AQ60" s="287"/>
      <c r="AR60" s="272"/>
      <c r="AS60" s="272"/>
      <c r="AT60" s="268"/>
      <c r="AU60" s="268"/>
      <c r="AV60" s="268"/>
      <c r="AW60" s="268"/>
      <c r="AX60" s="268"/>
      <c r="AY60" s="50" t="s">
        <v>321</v>
      </c>
      <c r="AZ60" s="52" t="s">
        <v>366</v>
      </c>
      <c r="BA60" s="12"/>
      <c r="BB60" s="12"/>
    </row>
    <row r="61" spans="1:54" ht="141.75" customHeight="1" x14ac:dyDescent="0.25">
      <c r="A61" s="354"/>
      <c r="B61" s="354"/>
      <c r="C61" s="354"/>
      <c r="D61" s="359"/>
      <c r="E61" s="358" t="s">
        <v>48</v>
      </c>
      <c r="F61" s="358">
        <f>0*100/2156</f>
        <v>0</v>
      </c>
      <c r="G61" s="367">
        <f>235*100/2156</f>
        <v>10.899814471243042</v>
      </c>
      <c r="H61" s="358">
        <v>0</v>
      </c>
      <c r="I61" s="358">
        <v>0</v>
      </c>
      <c r="J61" s="359"/>
      <c r="K61" s="5" t="s">
        <v>111</v>
      </c>
      <c r="L61" s="15">
        <v>657</v>
      </c>
      <c r="M61" s="20">
        <v>148</v>
      </c>
      <c r="N61" s="20">
        <v>670</v>
      </c>
      <c r="O61" s="20">
        <v>669</v>
      </c>
      <c r="P61" s="20">
        <v>669</v>
      </c>
      <c r="Q61" s="12">
        <v>0</v>
      </c>
      <c r="R61" s="35">
        <v>235</v>
      </c>
      <c r="S61" s="35">
        <v>0</v>
      </c>
      <c r="T61" s="35">
        <v>0</v>
      </c>
      <c r="U61" s="35">
        <f>R61</f>
        <v>235</v>
      </c>
      <c r="V61" s="35">
        <f t="shared" si="5"/>
        <v>892</v>
      </c>
      <c r="W61" s="35"/>
      <c r="X61" s="314"/>
      <c r="Y61" s="8" t="s">
        <v>184</v>
      </c>
      <c r="Z61" s="35">
        <v>0</v>
      </c>
      <c r="AA61" s="35">
        <v>235</v>
      </c>
      <c r="AB61" s="35">
        <v>0</v>
      </c>
      <c r="AC61" s="35">
        <v>0</v>
      </c>
      <c r="AD61" s="110">
        <f>AA61/AH61</f>
        <v>0.28313253012048195</v>
      </c>
      <c r="AE61" s="292"/>
      <c r="AF61" s="8" t="s">
        <v>247</v>
      </c>
      <c r="AG61" s="8">
        <v>509</v>
      </c>
      <c r="AH61" s="8">
        <v>830</v>
      </c>
      <c r="AI61" s="29" t="s">
        <v>274</v>
      </c>
      <c r="AJ61" s="309"/>
      <c r="AK61" s="309"/>
      <c r="AL61" s="309"/>
      <c r="AM61" s="277"/>
      <c r="AN61" s="277"/>
      <c r="AO61" s="274"/>
      <c r="AP61" s="274"/>
      <c r="AQ61" s="287"/>
      <c r="AR61" s="272"/>
      <c r="AS61" s="272"/>
      <c r="AT61" s="268"/>
      <c r="AU61" s="268"/>
      <c r="AV61" s="268"/>
      <c r="AW61" s="268"/>
      <c r="AX61" s="268"/>
      <c r="AY61" s="50" t="s">
        <v>322</v>
      </c>
      <c r="AZ61" s="52" t="s">
        <v>362</v>
      </c>
      <c r="BA61" s="12"/>
      <c r="BB61" s="12"/>
    </row>
    <row r="62" spans="1:54" ht="75.75" customHeight="1" x14ac:dyDescent="0.25">
      <c r="A62" s="354"/>
      <c r="B62" s="354"/>
      <c r="C62" s="354"/>
      <c r="D62" s="359"/>
      <c r="E62" s="354" t="s">
        <v>49</v>
      </c>
      <c r="F62" s="368">
        <f>390*100/1488</f>
        <v>26.20967741935484</v>
      </c>
      <c r="G62" s="368">
        <v>0</v>
      </c>
      <c r="H62" s="368">
        <v>0</v>
      </c>
      <c r="I62" s="368">
        <v>0</v>
      </c>
      <c r="J62" s="359"/>
      <c r="K62" s="5" t="s">
        <v>112</v>
      </c>
      <c r="L62" s="15">
        <v>742</v>
      </c>
      <c r="M62" s="20">
        <v>350</v>
      </c>
      <c r="N62" s="20">
        <v>380</v>
      </c>
      <c r="O62" s="20">
        <v>379</v>
      </c>
      <c r="P62" s="20">
        <v>379</v>
      </c>
      <c r="Q62" s="12">
        <v>390</v>
      </c>
      <c r="R62" s="35">
        <v>0</v>
      </c>
      <c r="S62" s="35">
        <v>0</v>
      </c>
      <c r="T62" s="35">
        <v>0</v>
      </c>
      <c r="U62" s="35">
        <f>Q62</f>
        <v>390</v>
      </c>
      <c r="V62" s="35">
        <f t="shared" si="5"/>
        <v>1132</v>
      </c>
      <c r="W62" s="35"/>
      <c r="X62" s="314"/>
      <c r="Y62" s="8" t="s">
        <v>185</v>
      </c>
      <c r="Z62" s="35">
        <v>390</v>
      </c>
      <c r="AA62" s="35">
        <v>0</v>
      </c>
      <c r="AB62" s="35">
        <v>0</v>
      </c>
      <c r="AC62" s="35">
        <v>0</v>
      </c>
      <c r="AD62" s="108">
        <f>100%</f>
        <v>1</v>
      </c>
      <c r="AE62" s="292"/>
      <c r="AF62" s="8" t="s">
        <v>248</v>
      </c>
      <c r="AG62" s="8">
        <v>392</v>
      </c>
      <c r="AH62" s="8">
        <v>367</v>
      </c>
      <c r="AI62" s="29" t="s">
        <v>274</v>
      </c>
      <c r="AJ62" s="309"/>
      <c r="AK62" s="309"/>
      <c r="AL62" s="309"/>
      <c r="AM62" s="277"/>
      <c r="AN62" s="277"/>
      <c r="AO62" s="274"/>
      <c r="AP62" s="274"/>
      <c r="AQ62" s="287"/>
      <c r="AR62" s="272"/>
      <c r="AS62" s="272"/>
      <c r="AT62" s="268"/>
      <c r="AU62" s="268"/>
      <c r="AV62" s="268"/>
      <c r="AW62" s="268"/>
      <c r="AX62" s="268"/>
      <c r="AY62" s="50" t="s">
        <v>323</v>
      </c>
      <c r="AZ62" s="12"/>
      <c r="BA62" s="12"/>
      <c r="BB62" s="12"/>
    </row>
    <row r="63" spans="1:54" ht="81" customHeight="1" x14ac:dyDescent="0.25">
      <c r="A63" s="354"/>
      <c r="B63" s="354"/>
      <c r="C63" s="354"/>
      <c r="D63" s="359"/>
      <c r="E63" s="354"/>
      <c r="F63" s="369"/>
      <c r="G63" s="369"/>
      <c r="H63" s="369"/>
      <c r="I63" s="369"/>
      <c r="J63" s="359"/>
      <c r="K63" s="5" t="s">
        <v>113</v>
      </c>
      <c r="L63" s="15">
        <v>0</v>
      </c>
      <c r="M63" s="20">
        <v>0</v>
      </c>
      <c r="N63" s="20">
        <v>133</v>
      </c>
      <c r="O63" s="20">
        <v>134</v>
      </c>
      <c r="P63" s="20">
        <v>133</v>
      </c>
      <c r="Q63" s="12">
        <v>0</v>
      </c>
      <c r="R63" s="35">
        <v>0</v>
      </c>
      <c r="S63" s="35">
        <v>0</v>
      </c>
      <c r="T63" s="35">
        <v>41</v>
      </c>
      <c r="U63" s="35">
        <f>T63</f>
        <v>41</v>
      </c>
      <c r="V63" s="35">
        <f t="shared" si="5"/>
        <v>41</v>
      </c>
      <c r="W63" s="35"/>
      <c r="X63" s="314"/>
      <c r="Y63" s="8" t="s">
        <v>186</v>
      </c>
      <c r="Z63" s="35">
        <v>0</v>
      </c>
      <c r="AA63" s="35">
        <v>0</v>
      </c>
      <c r="AB63" s="35">
        <v>0</v>
      </c>
      <c r="AC63" s="35">
        <v>41</v>
      </c>
      <c r="AD63" s="110">
        <f>AC63/AH63</f>
        <v>0.15355805243445692</v>
      </c>
      <c r="AE63" s="292"/>
      <c r="AF63" s="8" t="s">
        <v>249</v>
      </c>
      <c r="AG63" s="8">
        <v>0</v>
      </c>
      <c r="AH63" s="8">
        <v>267</v>
      </c>
      <c r="AI63" s="29" t="s">
        <v>274</v>
      </c>
      <c r="AJ63" s="309"/>
      <c r="AK63" s="309"/>
      <c r="AL63" s="309"/>
      <c r="AM63" s="277"/>
      <c r="AN63" s="277"/>
      <c r="AO63" s="274"/>
      <c r="AP63" s="274"/>
      <c r="AQ63" s="287"/>
      <c r="AR63" s="272"/>
      <c r="AS63" s="272"/>
      <c r="AT63" s="268"/>
      <c r="AU63" s="268"/>
      <c r="AV63" s="268"/>
      <c r="AW63" s="268"/>
      <c r="AX63" s="268"/>
      <c r="AY63" s="72" t="s">
        <v>324</v>
      </c>
      <c r="AZ63" s="72" t="s">
        <v>324</v>
      </c>
      <c r="BA63" s="12"/>
      <c r="BB63" s="12"/>
    </row>
    <row r="64" spans="1:54" ht="129" customHeight="1" x14ac:dyDescent="0.25">
      <c r="A64" s="354"/>
      <c r="B64" s="354"/>
      <c r="C64" s="354"/>
      <c r="D64" s="359"/>
      <c r="E64" s="358" t="s">
        <v>50</v>
      </c>
      <c r="F64" s="367">
        <f>2452*100/6825</f>
        <v>35.926739926739927</v>
      </c>
      <c r="G64" s="367">
        <f>686*100/6825</f>
        <v>10.051282051282051</v>
      </c>
      <c r="H64" s="367">
        <f>300*100/6825</f>
        <v>4.395604395604396</v>
      </c>
      <c r="I64" s="367">
        <f>732*100/6825</f>
        <v>10.725274725274724</v>
      </c>
      <c r="J64" s="359"/>
      <c r="K64" s="5" t="s">
        <v>114</v>
      </c>
      <c r="L64" s="17">
        <v>2429</v>
      </c>
      <c r="M64" s="20">
        <v>992</v>
      </c>
      <c r="N64" s="20">
        <v>1945</v>
      </c>
      <c r="O64" s="20">
        <v>1944</v>
      </c>
      <c r="P64" s="20">
        <v>1944</v>
      </c>
      <c r="Q64" s="12">
        <v>2452</v>
      </c>
      <c r="R64" s="35">
        <v>686</v>
      </c>
      <c r="S64" s="35">
        <v>300</v>
      </c>
      <c r="T64" s="92">
        <v>732</v>
      </c>
      <c r="U64" s="92">
        <f>(Q64+R64+S64+T64)</f>
        <v>4170</v>
      </c>
      <c r="V64" s="127">
        <f t="shared" si="5"/>
        <v>6599</v>
      </c>
      <c r="W64" s="127"/>
      <c r="X64" s="314"/>
      <c r="Y64" s="8" t="s">
        <v>187</v>
      </c>
      <c r="Z64" s="35">
        <v>2452</v>
      </c>
      <c r="AA64" s="35">
        <v>686</v>
      </c>
      <c r="AB64" s="35">
        <v>300</v>
      </c>
      <c r="AC64" s="92">
        <v>732</v>
      </c>
      <c r="AD64" s="111">
        <f>100%</f>
        <v>1</v>
      </c>
      <c r="AE64" s="292"/>
      <c r="AF64" s="8" t="s">
        <v>250</v>
      </c>
      <c r="AG64" s="8">
        <v>1437</v>
      </c>
      <c r="AH64" s="8">
        <v>2452</v>
      </c>
      <c r="AI64" s="29" t="s">
        <v>274</v>
      </c>
      <c r="AJ64" s="309"/>
      <c r="AK64" s="309"/>
      <c r="AL64" s="309"/>
      <c r="AM64" s="277"/>
      <c r="AN64" s="277"/>
      <c r="AO64" s="274"/>
      <c r="AP64" s="274"/>
      <c r="AQ64" s="287"/>
      <c r="AR64" s="272"/>
      <c r="AS64" s="272"/>
      <c r="AT64" s="268"/>
      <c r="AU64" s="268"/>
      <c r="AV64" s="268"/>
      <c r="AW64" s="268"/>
      <c r="AX64" s="268"/>
      <c r="AY64" s="50" t="s">
        <v>325</v>
      </c>
      <c r="AZ64" s="52" t="s">
        <v>363</v>
      </c>
      <c r="BA64" s="12"/>
      <c r="BB64" s="12"/>
    </row>
    <row r="65" spans="1:54" ht="103.5" customHeight="1" x14ac:dyDescent="0.25">
      <c r="A65" s="354"/>
      <c r="B65" s="354"/>
      <c r="C65" s="354"/>
      <c r="D65" s="359"/>
      <c r="E65" s="358" t="s">
        <v>51</v>
      </c>
      <c r="F65" s="358">
        <v>0</v>
      </c>
      <c r="G65" s="358">
        <v>0</v>
      </c>
      <c r="H65" s="358">
        <v>0</v>
      </c>
      <c r="I65" s="358">
        <v>0</v>
      </c>
      <c r="J65" s="359"/>
      <c r="K65" s="5" t="s">
        <v>115</v>
      </c>
      <c r="L65" s="15">
        <v>0</v>
      </c>
      <c r="M65" s="15">
        <v>0</v>
      </c>
      <c r="N65" s="15">
        <v>0</v>
      </c>
      <c r="O65" s="15">
        <v>0.5</v>
      </c>
      <c r="P65" s="15">
        <v>0.5</v>
      </c>
      <c r="Q65" s="12">
        <v>0</v>
      </c>
      <c r="R65" s="43">
        <v>0</v>
      </c>
      <c r="S65" s="43">
        <v>0</v>
      </c>
      <c r="T65" s="43">
        <v>0</v>
      </c>
      <c r="U65" s="43">
        <f>0</f>
        <v>0</v>
      </c>
      <c r="V65" s="43">
        <f t="shared" si="5"/>
        <v>0</v>
      </c>
      <c r="W65" s="43"/>
      <c r="X65" s="314"/>
      <c r="Y65" s="30" t="s">
        <v>188</v>
      </c>
      <c r="Z65" s="35">
        <v>0</v>
      </c>
      <c r="AA65" s="43">
        <v>0</v>
      </c>
      <c r="AB65" s="43">
        <v>0</v>
      </c>
      <c r="AC65" s="43">
        <v>0</v>
      </c>
      <c r="AD65" s="112">
        <f>0/AH65</f>
        <v>0</v>
      </c>
      <c r="AE65" s="292"/>
      <c r="AF65" s="65" t="s">
        <v>251</v>
      </c>
      <c r="AG65" s="8">
        <v>0</v>
      </c>
      <c r="AH65" s="8">
        <v>1</v>
      </c>
      <c r="AI65" s="29" t="s">
        <v>274</v>
      </c>
      <c r="AJ65" s="309"/>
      <c r="AK65" s="309"/>
      <c r="AL65" s="309"/>
      <c r="AM65" s="277"/>
      <c r="AN65" s="277"/>
      <c r="AO65" s="274"/>
      <c r="AP65" s="274"/>
      <c r="AQ65" s="287"/>
      <c r="AR65" s="272"/>
      <c r="AS65" s="272"/>
      <c r="AT65" s="268"/>
      <c r="AU65" s="268"/>
      <c r="AV65" s="268"/>
      <c r="AW65" s="268"/>
      <c r="AX65" s="268"/>
      <c r="AY65" s="50" t="s">
        <v>326</v>
      </c>
      <c r="AZ65" s="72" t="s">
        <v>326</v>
      </c>
      <c r="BA65" s="12"/>
      <c r="BB65" s="12"/>
    </row>
    <row r="66" spans="1:54" ht="112.5" customHeight="1" x14ac:dyDescent="0.25">
      <c r="A66" s="354"/>
      <c r="B66" s="354"/>
      <c r="C66" s="354"/>
      <c r="D66" s="359"/>
      <c r="E66" s="358" t="s">
        <v>378</v>
      </c>
      <c r="F66" s="358">
        <v>0</v>
      </c>
      <c r="G66" s="370">
        <v>1</v>
      </c>
      <c r="H66" s="370">
        <v>0</v>
      </c>
      <c r="I66" s="370">
        <v>0</v>
      </c>
      <c r="J66" s="359"/>
      <c r="K66" s="5" t="s">
        <v>116</v>
      </c>
      <c r="L66" s="19" t="s">
        <v>302</v>
      </c>
      <c r="M66" s="19">
        <v>22</v>
      </c>
      <c r="N66" s="19">
        <v>22</v>
      </c>
      <c r="O66" s="19">
        <v>22</v>
      </c>
      <c r="P66" s="19">
        <v>22</v>
      </c>
      <c r="Q66" s="12">
        <v>0</v>
      </c>
      <c r="R66" s="43">
        <v>22</v>
      </c>
      <c r="S66" s="43">
        <v>0</v>
      </c>
      <c r="T66" s="43">
        <v>0</v>
      </c>
      <c r="U66" s="43">
        <f>R66</f>
        <v>22</v>
      </c>
      <c r="V66" s="43">
        <f>22</f>
        <v>22</v>
      </c>
      <c r="W66" s="43"/>
      <c r="X66" s="314"/>
      <c r="Y66" s="30" t="s">
        <v>116</v>
      </c>
      <c r="Z66" s="35">
        <v>0</v>
      </c>
      <c r="AA66" s="43">
        <v>22</v>
      </c>
      <c r="AB66" s="43">
        <v>0</v>
      </c>
      <c r="AC66" s="43">
        <v>0</v>
      </c>
      <c r="AD66" s="112">
        <f>AA66/AH66</f>
        <v>1</v>
      </c>
      <c r="AE66" s="292"/>
      <c r="AF66" s="65" t="s">
        <v>270</v>
      </c>
      <c r="AG66" s="30">
        <v>22</v>
      </c>
      <c r="AH66" s="30">
        <v>22</v>
      </c>
      <c r="AI66" s="29" t="s">
        <v>274</v>
      </c>
      <c r="AJ66" s="309"/>
      <c r="AK66" s="309"/>
      <c r="AL66" s="309"/>
      <c r="AM66" s="277"/>
      <c r="AN66" s="277"/>
      <c r="AO66" s="274"/>
      <c r="AP66" s="274"/>
      <c r="AQ66" s="287"/>
      <c r="AR66" s="272"/>
      <c r="AS66" s="272"/>
      <c r="AT66" s="268"/>
      <c r="AU66" s="268"/>
      <c r="AV66" s="268"/>
      <c r="AW66" s="268"/>
      <c r="AX66" s="268"/>
      <c r="AY66" s="47" t="s">
        <v>327</v>
      </c>
      <c r="AZ66" s="35" t="s">
        <v>364</v>
      </c>
      <c r="BA66" s="12"/>
      <c r="BB66" s="12"/>
    </row>
    <row r="67" spans="1:54" ht="129.75" customHeight="1" x14ac:dyDescent="0.25">
      <c r="A67" s="354"/>
      <c r="B67" s="354"/>
      <c r="C67" s="354"/>
      <c r="D67" s="359"/>
      <c r="E67" s="358" t="s">
        <v>52</v>
      </c>
      <c r="F67" s="361" t="s">
        <v>189</v>
      </c>
      <c r="G67" s="361" t="s">
        <v>189</v>
      </c>
      <c r="H67" s="361" t="s">
        <v>189</v>
      </c>
      <c r="I67" s="361" t="s">
        <v>189</v>
      </c>
      <c r="J67" s="359"/>
      <c r="K67" s="5" t="s">
        <v>117</v>
      </c>
      <c r="L67" s="15">
        <v>1</v>
      </c>
      <c r="M67" s="19">
        <v>0</v>
      </c>
      <c r="N67" s="19">
        <v>1</v>
      </c>
      <c r="O67" s="19">
        <v>0</v>
      </c>
      <c r="P67" s="19">
        <v>0</v>
      </c>
      <c r="Q67" s="27" t="s">
        <v>189</v>
      </c>
      <c r="R67" s="42" t="s">
        <v>189</v>
      </c>
      <c r="S67" s="80" t="s">
        <v>189</v>
      </c>
      <c r="T67" s="91" t="s">
        <v>189</v>
      </c>
      <c r="U67" s="102"/>
      <c r="V67" s="102">
        <f>1</f>
        <v>1</v>
      </c>
      <c r="W67" s="102"/>
      <c r="X67" s="314"/>
      <c r="Y67" s="30" t="s">
        <v>189</v>
      </c>
      <c r="Z67" s="30" t="s">
        <v>189</v>
      </c>
      <c r="AA67" s="42" t="s">
        <v>189</v>
      </c>
      <c r="AB67" s="71" t="s">
        <v>189</v>
      </c>
      <c r="AC67" s="91" t="s">
        <v>189</v>
      </c>
      <c r="AD67" s="100"/>
      <c r="AE67" s="292"/>
      <c r="AF67" s="30" t="s">
        <v>189</v>
      </c>
      <c r="AG67" s="30" t="s">
        <v>189</v>
      </c>
      <c r="AH67" s="30" t="s">
        <v>189</v>
      </c>
      <c r="AI67" s="29" t="s">
        <v>274</v>
      </c>
      <c r="AJ67" s="309"/>
      <c r="AK67" s="309"/>
      <c r="AL67" s="309"/>
      <c r="AM67" s="277"/>
      <c r="AN67" s="277"/>
      <c r="AO67" s="274"/>
      <c r="AP67" s="274"/>
      <c r="AQ67" s="287"/>
      <c r="AR67" s="272"/>
      <c r="AS67" s="272"/>
      <c r="AT67" s="268"/>
      <c r="AU67" s="268"/>
      <c r="AV67" s="268"/>
      <c r="AW67" s="268"/>
      <c r="AX67" s="268"/>
      <c r="AY67" s="47"/>
      <c r="AZ67" s="12"/>
      <c r="BA67" s="12"/>
      <c r="BB67" s="12"/>
    </row>
    <row r="68" spans="1:54" ht="168" customHeight="1" x14ac:dyDescent="0.25">
      <c r="A68" s="354"/>
      <c r="B68" s="354"/>
      <c r="C68" s="354"/>
      <c r="D68" s="359"/>
      <c r="E68" s="358" t="s">
        <v>53</v>
      </c>
      <c r="F68" s="358">
        <v>0</v>
      </c>
      <c r="G68" s="358">
        <v>0</v>
      </c>
      <c r="H68" s="358">
        <v>0</v>
      </c>
      <c r="I68" s="358">
        <v>0</v>
      </c>
      <c r="J68" s="359"/>
      <c r="K68" s="5" t="s">
        <v>118</v>
      </c>
      <c r="L68" s="15">
        <v>0</v>
      </c>
      <c r="M68" s="15">
        <v>0</v>
      </c>
      <c r="N68" s="15">
        <v>0</v>
      </c>
      <c r="O68" s="19">
        <v>0.5</v>
      </c>
      <c r="P68" s="19">
        <v>0.5</v>
      </c>
      <c r="Q68" s="12">
        <v>0</v>
      </c>
      <c r="R68" s="35">
        <v>0</v>
      </c>
      <c r="S68" s="35">
        <v>0</v>
      </c>
      <c r="T68" s="35">
        <v>0</v>
      </c>
      <c r="U68" s="35">
        <f>0</f>
        <v>0</v>
      </c>
      <c r="V68" s="35">
        <f>L68+U68</f>
        <v>0</v>
      </c>
      <c r="W68" s="35"/>
      <c r="X68" s="314"/>
      <c r="Y68" s="30" t="s">
        <v>190</v>
      </c>
      <c r="Z68" s="35">
        <v>0</v>
      </c>
      <c r="AA68" s="35">
        <v>0</v>
      </c>
      <c r="AB68" s="35">
        <v>0</v>
      </c>
      <c r="AC68" s="35">
        <v>0</v>
      </c>
      <c r="AD68" s="108">
        <f>0/AH68</f>
        <v>0</v>
      </c>
      <c r="AE68" s="293"/>
      <c r="AF68" s="64" t="s">
        <v>252</v>
      </c>
      <c r="AG68" s="39">
        <v>0</v>
      </c>
      <c r="AH68" s="39">
        <v>1</v>
      </c>
      <c r="AI68" s="29" t="s">
        <v>274</v>
      </c>
      <c r="AJ68" s="310"/>
      <c r="AK68" s="310"/>
      <c r="AL68" s="310"/>
      <c r="AM68" s="278"/>
      <c r="AN68" s="278"/>
      <c r="AO68" s="275"/>
      <c r="AP68" s="275"/>
      <c r="AQ68" s="287"/>
      <c r="AR68" s="270"/>
      <c r="AS68" s="270"/>
      <c r="AT68" s="271"/>
      <c r="AU68" s="271"/>
      <c r="AV68" s="271"/>
      <c r="AW68" s="271"/>
      <c r="AX68" s="271"/>
      <c r="AY68" s="47"/>
      <c r="AZ68" s="12"/>
      <c r="BA68" s="12"/>
      <c r="BB68" s="12"/>
    </row>
    <row r="69" spans="1:54" ht="104.25" customHeight="1" x14ac:dyDescent="0.25">
      <c r="A69" s="354"/>
      <c r="B69" s="354"/>
      <c r="C69" s="354"/>
      <c r="D69" s="359" t="s">
        <v>54</v>
      </c>
      <c r="E69" s="354" t="s">
        <v>55</v>
      </c>
      <c r="F69" s="354">
        <v>0</v>
      </c>
      <c r="G69" s="371">
        <f>200*100/453</f>
        <v>44.150110375275936</v>
      </c>
      <c r="H69" s="371">
        <v>0</v>
      </c>
      <c r="I69" s="371">
        <v>0</v>
      </c>
      <c r="J69" s="359" t="s">
        <v>119</v>
      </c>
      <c r="K69" s="5" t="s">
        <v>120</v>
      </c>
      <c r="L69" s="15">
        <v>2</v>
      </c>
      <c r="M69" s="20">
        <v>1</v>
      </c>
      <c r="N69" s="20">
        <v>2</v>
      </c>
      <c r="O69" s="20">
        <v>2</v>
      </c>
      <c r="P69" s="20">
        <v>1</v>
      </c>
      <c r="Q69" s="12">
        <v>0</v>
      </c>
      <c r="R69" s="12">
        <v>2</v>
      </c>
      <c r="S69" s="35">
        <v>0</v>
      </c>
      <c r="T69" s="35">
        <v>0</v>
      </c>
      <c r="U69" s="35">
        <f>R69</f>
        <v>2</v>
      </c>
      <c r="V69" s="35">
        <f>L69+U69</f>
        <v>4</v>
      </c>
      <c r="W69" s="35"/>
      <c r="X69" s="287" t="s">
        <v>191</v>
      </c>
      <c r="Y69" s="8" t="s">
        <v>192</v>
      </c>
      <c r="Z69" s="35">
        <v>0</v>
      </c>
      <c r="AA69" s="35">
        <v>2</v>
      </c>
      <c r="AB69" s="35">
        <v>0</v>
      </c>
      <c r="AC69" s="35">
        <v>0</v>
      </c>
      <c r="AD69" s="108">
        <f>AA69/AH69</f>
        <v>1</v>
      </c>
      <c r="AE69" s="291">
        <f>SUM(AD69:AD72)/(4)</f>
        <v>0.5</v>
      </c>
      <c r="AF69" s="8" t="s">
        <v>253</v>
      </c>
      <c r="AG69" s="8">
        <v>2</v>
      </c>
      <c r="AH69" s="8">
        <v>2</v>
      </c>
      <c r="AI69" s="29" t="s">
        <v>274</v>
      </c>
      <c r="AJ69" s="162" t="s">
        <v>486</v>
      </c>
      <c r="AK69" s="162" t="s">
        <v>487</v>
      </c>
      <c r="AL69" s="162" t="s">
        <v>277</v>
      </c>
      <c r="AM69" s="228">
        <v>150000000</v>
      </c>
      <c r="AN69" s="228">
        <v>149991000</v>
      </c>
      <c r="AO69" s="230">
        <f>AN69/AM69</f>
        <v>0.99994000000000005</v>
      </c>
      <c r="AP69" s="273">
        <f>(227991000)/(300000000)</f>
        <v>0.75997000000000003</v>
      </c>
      <c r="AQ69" s="287" t="s">
        <v>447</v>
      </c>
      <c r="AR69" s="269" t="s">
        <v>296</v>
      </c>
      <c r="AS69" s="269" t="s">
        <v>297</v>
      </c>
      <c r="AT69" s="267">
        <v>300000000</v>
      </c>
      <c r="AU69" s="267">
        <f>149991000+78000000</f>
        <v>227991000</v>
      </c>
      <c r="AV69" s="267">
        <f>149991000+78000000</f>
        <v>227991000</v>
      </c>
      <c r="AW69" s="267">
        <f>149991000+78000000</f>
        <v>227991000</v>
      </c>
      <c r="AX69" s="267">
        <f>149991000+78000000</f>
        <v>227991000</v>
      </c>
      <c r="AY69" s="50" t="s">
        <v>333</v>
      </c>
      <c r="AZ69" s="63" t="s">
        <v>397</v>
      </c>
      <c r="BA69" s="12"/>
      <c r="BB69" s="12"/>
    </row>
    <row r="70" spans="1:54" ht="82.5" customHeight="1" x14ac:dyDescent="0.25">
      <c r="A70" s="354"/>
      <c r="B70" s="354"/>
      <c r="C70" s="354"/>
      <c r="D70" s="359"/>
      <c r="E70" s="354"/>
      <c r="F70" s="354"/>
      <c r="G70" s="371"/>
      <c r="H70" s="371"/>
      <c r="I70" s="371"/>
      <c r="J70" s="359"/>
      <c r="K70" s="94" t="s">
        <v>121</v>
      </c>
      <c r="L70" s="15">
        <v>132</v>
      </c>
      <c r="M70" s="20">
        <v>27</v>
      </c>
      <c r="N70" s="20">
        <v>105</v>
      </c>
      <c r="O70" s="20">
        <v>93</v>
      </c>
      <c r="P70" s="20">
        <v>92</v>
      </c>
      <c r="Q70" s="12">
        <v>0</v>
      </c>
      <c r="R70" s="12">
        <v>200</v>
      </c>
      <c r="S70" s="35">
        <v>0</v>
      </c>
      <c r="T70" s="35">
        <v>0</v>
      </c>
      <c r="U70" s="35">
        <f>R70</f>
        <v>200</v>
      </c>
      <c r="V70" s="35">
        <f>L70+U70</f>
        <v>332</v>
      </c>
      <c r="W70" s="35"/>
      <c r="X70" s="287"/>
      <c r="Y70" s="8" t="s">
        <v>193</v>
      </c>
      <c r="Z70" s="35">
        <v>0</v>
      </c>
      <c r="AA70" s="35">
        <v>200</v>
      </c>
      <c r="AB70" s="35">
        <v>0</v>
      </c>
      <c r="AC70" s="35">
        <v>0</v>
      </c>
      <c r="AD70" s="108">
        <f>100%</f>
        <v>1</v>
      </c>
      <c r="AE70" s="292"/>
      <c r="AF70" s="8" t="s">
        <v>254</v>
      </c>
      <c r="AG70" s="39">
        <v>105</v>
      </c>
      <c r="AH70" s="39">
        <v>106</v>
      </c>
      <c r="AI70" s="29" t="s">
        <v>274</v>
      </c>
      <c r="AJ70" s="231" t="s">
        <v>568</v>
      </c>
      <c r="AK70" s="206" t="s">
        <v>569</v>
      </c>
      <c r="AL70" s="199" t="s">
        <v>277</v>
      </c>
      <c r="AM70" s="179">
        <v>150000000</v>
      </c>
      <c r="AN70" s="179">
        <v>78000000</v>
      </c>
      <c r="AO70" s="175">
        <f>AN70/AM70</f>
        <v>0.52</v>
      </c>
      <c r="AP70" s="274"/>
      <c r="AQ70" s="287"/>
      <c r="AR70" s="272"/>
      <c r="AS70" s="272"/>
      <c r="AT70" s="268"/>
      <c r="AU70" s="268"/>
      <c r="AV70" s="268"/>
      <c r="AW70" s="268"/>
      <c r="AX70" s="268"/>
      <c r="AY70" s="50" t="s">
        <v>332</v>
      </c>
      <c r="AZ70" s="63" t="s">
        <v>395</v>
      </c>
      <c r="BA70" s="12"/>
      <c r="BB70" s="12"/>
    </row>
    <row r="71" spans="1:54" ht="93.75" customHeight="1" x14ac:dyDescent="0.25">
      <c r="A71" s="354"/>
      <c r="B71" s="354"/>
      <c r="C71" s="354"/>
      <c r="D71" s="359"/>
      <c r="E71" s="358" t="s">
        <v>56</v>
      </c>
      <c r="F71" s="358">
        <v>0</v>
      </c>
      <c r="G71" s="358">
        <v>0</v>
      </c>
      <c r="H71" s="358">
        <v>0</v>
      </c>
      <c r="I71" s="358">
        <v>0</v>
      </c>
      <c r="J71" s="359"/>
      <c r="K71" s="5" t="s">
        <v>122</v>
      </c>
      <c r="L71" s="15">
        <v>132</v>
      </c>
      <c r="M71" s="20">
        <v>85</v>
      </c>
      <c r="N71" s="20">
        <v>47</v>
      </c>
      <c r="O71" s="20">
        <v>47</v>
      </c>
      <c r="P71" s="20">
        <v>47</v>
      </c>
      <c r="Q71" s="12">
        <v>0</v>
      </c>
      <c r="R71" s="12">
        <v>0</v>
      </c>
      <c r="S71" s="35">
        <v>0</v>
      </c>
      <c r="T71" s="33">
        <v>0</v>
      </c>
      <c r="U71" s="33">
        <f>0</f>
        <v>0</v>
      </c>
      <c r="V71" s="33">
        <f>L71+U71</f>
        <v>132</v>
      </c>
      <c r="W71" s="33"/>
      <c r="X71" s="287"/>
      <c r="Y71" s="8" t="s">
        <v>194</v>
      </c>
      <c r="Z71" s="35">
        <v>0</v>
      </c>
      <c r="AA71" s="35">
        <v>0</v>
      </c>
      <c r="AB71" s="35">
        <v>0</v>
      </c>
      <c r="AC71" s="33">
        <v>0</v>
      </c>
      <c r="AD71" s="107">
        <f>0/AH71</f>
        <v>0</v>
      </c>
      <c r="AE71" s="292"/>
      <c r="AF71" s="8" t="s">
        <v>271</v>
      </c>
      <c r="AG71" s="39">
        <v>47</v>
      </c>
      <c r="AH71" s="39">
        <v>47</v>
      </c>
      <c r="AI71" s="29" t="s">
        <v>274</v>
      </c>
      <c r="AJ71" s="163"/>
      <c r="AK71" s="163"/>
      <c r="AL71" s="163"/>
      <c r="AM71" s="235"/>
      <c r="AN71" s="235"/>
      <c r="AO71" s="172"/>
      <c r="AP71" s="274"/>
      <c r="AQ71" s="287"/>
      <c r="AR71" s="272"/>
      <c r="AS71" s="272"/>
      <c r="AT71" s="268"/>
      <c r="AU71" s="268"/>
      <c r="AV71" s="268"/>
      <c r="AW71" s="268"/>
      <c r="AX71" s="268"/>
      <c r="AY71" s="50" t="s">
        <v>355</v>
      </c>
      <c r="AZ71" s="63" t="s">
        <v>396</v>
      </c>
      <c r="BA71" s="63" t="s">
        <v>396</v>
      </c>
      <c r="BB71" s="12"/>
    </row>
    <row r="72" spans="1:54" ht="89.25" customHeight="1" x14ac:dyDescent="0.25">
      <c r="A72" s="354"/>
      <c r="B72" s="354"/>
      <c r="C72" s="354"/>
      <c r="D72" s="359"/>
      <c r="E72" s="358" t="s">
        <v>57</v>
      </c>
      <c r="F72" s="358">
        <v>0</v>
      </c>
      <c r="G72" s="358">
        <v>0</v>
      </c>
      <c r="H72" s="358">
        <v>0</v>
      </c>
      <c r="I72" s="358">
        <v>0</v>
      </c>
      <c r="J72" s="359"/>
      <c r="K72" s="5" t="s">
        <v>123</v>
      </c>
      <c r="L72" s="15">
        <v>0</v>
      </c>
      <c r="M72" s="20">
        <v>0</v>
      </c>
      <c r="N72" s="20">
        <v>15</v>
      </c>
      <c r="O72" s="20">
        <v>15</v>
      </c>
      <c r="P72" s="20">
        <v>15</v>
      </c>
      <c r="Q72" s="12">
        <v>0</v>
      </c>
      <c r="R72" s="12">
        <v>0</v>
      </c>
      <c r="S72" s="35">
        <v>0</v>
      </c>
      <c r="T72" s="35">
        <v>0</v>
      </c>
      <c r="U72" s="35">
        <f>0</f>
        <v>0</v>
      </c>
      <c r="V72" s="35">
        <f>L72+U72</f>
        <v>0</v>
      </c>
      <c r="W72" s="35"/>
      <c r="X72" s="287"/>
      <c r="Y72" s="8" t="s">
        <v>195</v>
      </c>
      <c r="Z72" s="35">
        <v>0</v>
      </c>
      <c r="AA72" s="35">
        <v>0</v>
      </c>
      <c r="AB72" s="35">
        <v>0</v>
      </c>
      <c r="AC72" s="35">
        <v>0</v>
      </c>
      <c r="AD72" s="108">
        <f>0/AH72</f>
        <v>0</v>
      </c>
      <c r="AE72" s="293"/>
      <c r="AF72" s="8" t="s">
        <v>272</v>
      </c>
      <c r="AG72" s="39">
        <v>0</v>
      </c>
      <c r="AH72" s="39">
        <v>30</v>
      </c>
      <c r="AI72" s="29" t="s">
        <v>274</v>
      </c>
      <c r="AJ72" s="164"/>
      <c r="AK72" s="164"/>
      <c r="AL72" s="164"/>
      <c r="AM72" s="229"/>
      <c r="AN72" s="229"/>
      <c r="AO72" s="173"/>
      <c r="AP72" s="275"/>
      <c r="AQ72" s="287"/>
      <c r="AR72" s="270"/>
      <c r="AS72" s="270"/>
      <c r="AT72" s="271"/>
      <c r="AU72" s="271"/>
      <c r="AV72" s="271"/>
      <c r="AW72" s="271"/>
      <c r="AX72" s="271"/>
      <c r="AY72" s="50" t="s">
        <v>356</v>
      </c>
      <c r="AZ72" s="12"/>
      <c r="BA72" s="63" t="s">
        <v>407</v>
      </c>
      <c r="BB72" s="12"/>
    </row>
    <row r="73" spans="1:54" ht="114.75" customHeight="1" x14ac:dyDescent="0.25">
      <c r="A73" s="354"/>
      <c r="B73" s="354"/>
      <c r="C73" s="354"/>
      <c r="D73" s="359" t="s">
        <v>58</v>
      </c>
      <c r="E73" s="358" t="s">
        <v>59</v>
      </c>
      <c r="F73" s="358">
        <v>0</v>
      </c>
      <c r="G73" s="358">
        <v>0</v>
      </c>
      <c r="H73" s="358">
        <v>0</v>
      </c>
      <c r="I73" s="358">
        <v>0</v>
      </c>
      <c r="J73" s="359" t="s">
        <v>58</v>
      </c>
      <c r="K73" s="7" t="s">
        <v>124</v>
      </c>
      <c r="L73" s="14" t="s">
        <v>303</v>
      </c>
      <c r="M73" s="20">
        <v>0</v>
      </c>
      <c r="N73" s="20">
        <v>0.33</v>
      </c>
      <c r="O73" s="20">
        <v>0.33</v>
      </c>
      <c r="P73" s="20">
        <v>0.33</v>
      </c>
      <c r="Q73" s="12">
        <v>0</v>
      </c>
      <c r="R73" s="35">
        <v>0</v>
      </c>
      <c r="S73" s="35">
        <v>0</v>
      </c>
      <c r="T73" s="35">
        <v>0</v>
      </c>
      <c r="U73" s="35">
        <f>0</f>
        <v>0</v>
      </c>
      <c r="V73" s="35">
        <f>1</f>
        <v>1</v>
      </c>
      <c r="W73" s="35"/>
      <c r="X73" s="287" t="s">
        <v>196</v>
      </c>
      <c r="Y73" s="8" t="s">
        <v>197</v>
      </c>
      <c r="Z73" s="35">
        <v>0</v>
      </c>
      <c r="AA73" s="35">
        <v>0</v>
      </c>
      <c r="AB73" s="35">
        <v>0</v>
      </c>
      <c r="AC73" s="35">
        <v>0</v>
      </c>
      <c r="AD73" s="108">
        <f>0/0.33</f>
        <v>0</v>
      </c>
      <c r="AE73" s="291">
        <f>SUM(AD73:AD77)/(5)</f>
        <v>0.5</v>
      </c>
      <c r="AF73" s="66" t="s">
        <v>255</v>
      </c>
      <c r="AG73" s="8" t="s">
        <v>256</v>
      </c>
      <c r="AH73" s="8" t="s">
        <v>257</v>
      </c>
      <c r="AI73" s="29" t="s">
        <v>274</v>
      </c>
      <c r="AJ73" s="143" t="s">
        <v>488</v>
      </c>
      <c r="AK73" s="143" t="s">
        <v>489</v>
      </c>
      <c r="AL73" s="167" t="s">
        <v>277</v>
      </c>
      <c r="AM73" s="276">
        <v>100000000</v>
      </c>
      <c r="AN73" s="276">
        <v>99900000</v>
      </c>
      <c r="AO73" s="273">
        <f>AN73/AM73</f>
        <v>0.999</v>
      </c>
      <c r="AP73" s="273">
        <f>AO73</f>
        <v>0.999</v>
      </c>
      <c r="AQ73" s="287" t="s">
        <v>447</v>
      </c>
      <c r="AR73" s="269" t="s">
        <v>298</v>
      </c>
      <c r="AS73" s="269" t="s">
        <v>277</v>
      </c>
      <c r="AT73" s="267">
        <v>100000000</v>
      </c>
      <c r="AU73" s="267">
        <v>85700000</v>
      </c>
      <c r="AV73" s="267">
        <v>85700000</v>
      </c>
      <c r="AW73" s="267">
        <v>85700000</v>
      </c>
      <c r="AX73" s="267">
        <v>99900000</v>
      </c>
      <c r="AY73" s="50" t="s">
        <v>328</v>
      </c>
      <c r="AZ73" s="72" t="s">
        <v>392</v>
      </c>
      <c r="BA73" s="78" t="s">
        <v>426</v>
      </c>
      <c r="BB73" s="12"/>
    </row>
    <row r="74" spans="1:54" ht="117" customHeight="1" x14ac:dyDescent="0.25">
      <c r="A74" s="354"/>
      <c r="B74" s="354"/>
      <c r="C74" s="354"/>
      <c r="D74" s="359"/>
      <c r="E74" s="354" t="s">
        <v>60</v>
      </c>
      <c r="F74" s="354">
        <v>0</v>
      </c>
      <c r="G74" s="354">
        <v>0</v>
      </c>
      <c r="H74" s="354">
        <v>0</v>
      </c>
      <c r="I74" s="354">
        <v>0</v>
      </c>
      <c r="J74" s="359"/>
      <c r="K74" s="7" t="s">
        <v>125</v>
      </c>
      <c r="L74" s="15">
        <v>31</v>
      </c>
      <c r="M74" s="20">
        <v>5</v>
      </c>
      <c r="N74" s="20">
        <v>2</v>
      </c>
      <c r="O74" s="20">
        <v>2</v>
      </c>
      <c r="P74" s="20">
        <v>3</v>
      </c>
      <c r="Q74" s="12">
        <v>4</v>
      </c>
      <c r="R74" s="35">
        <v>1</v>
      </c>
      <c r="S74" s="35">
        <v>0</v>
      </c>
      <c r="T74" s="35">
        <v>0</v>
      </c>
      <c r="U74" s="35">
        <f>(Q74+R74)</f>
        <v>5</v>
      </c>
      <c r="V74" s="35">
        <f t="shared" ref="V74:V81" si="6">L74+U74</f>
        <v>36</v>
      </c>
      <c r="W74" s="35"/>
      <c r="X74" s="287"/>
      <c r="Y74" s="8" t="s">
        <v>198</v>
      </c>
      <c r="Z74" s="35">
        <v>4</v>
      </c>
      <c r="AA74" s="35">
        <v>1</v>
      </c>
      <c r="AB74" s="35">
        <v>0</v>
      </c>
      <c r="AC74" s="35">
        <v>0</v>
      </c>
      <c r="AD74" s="108">
        <f>100%</f>
        <v>1</v>
      </c>
      <c r="AE74" s="292"/>
      <c r="AF74" s="8" t="s">
        <v>258</v>
      </c>
      <c r="AG74" s="8">
        <v>19</v>
      </c>
      <c r="AH74" s="8">
        <v>2</v>
      </c>
      <c r="AI74" s="29" t="s">
        <v>274</v>
      </c>
      <c r="AJ74" s="163"/>
      <c r="AK74" s="163"/>
      <c r="AL74" s="163"/>
      <c r="AM74" s="277"/>
      <c r="AN74" s="277"/>
      <c r="AO74" s="274"/>
      <c r="AP74" s="274"/>
      <c r="AQ74" s="287"/>
      <c r="AR74" s="272"/>
      <c r="AS74" s="272"/>
      <c r="AT74" s="268"/>
      <c r="AU74" s="268"/>
      <c r="AV74" s="268"/>
      <c r="AW74" s="268"/>
      <c r="AX74" s="268"/>
      <c r="AY74" s="50" t="s">
        <v>357</v>
      </c>
      <c r="AZ74" s="72" t="s">
        <v>394</v>
      </c>
      <c r="BA74" s="12"/>
      <c r="BB74" s="12"/>
    </row>
    <row r="75" spans="1:54" ht="105.75" customHeight="1" x14ac:dyDescent="0.25">
      <c r="A75" s="354"/>
      <c r="B75" s="354"/>
      <c r="C75" s="354"/>
      <c r="D75" s="359"/>
      <c r="E75" s="354"/>
      <c r="F75" s="354"/>
      <c r="G75" s="354"/>
      <c r="H75" s="354"/>
      <c r="I75" s="354"/>
      <c r="J75" s="359"/>
      <c r="K75" s="7" t="s">
        <v>126</v>
      </c>
      <c r="L75" s="15">
        <v>5</v>
      </c>
      <c r="M75" s="20">
        <v>1</v>
      </c>
      <c r="N75" s="20">
        <v>1</v>
      </c>
      <c r="O75" s="20">
        <v>1</v>
      </c>
      <c r="P75" s="20">
        <v>1</v>
      </c>
      <c r="Q75" s="12">
        <v>2</v>
      </c>
      <c r="R75" s="35">
        <v>0</v>
      </c>
      <c r="S75" s="35">
        <v>0</v>
      </c>
      <c r="T75" s="35">
        <v>0</v>
      </c>
      <c r="U75" s="35">
        <f>Q75</f>
        <v>2</v>
      </c>
      <c r="V75" s="35">
        <f t="shared" si="6"/>
        <v>7</v>
      </c>
      <c r="W75" s="35"/>
      <c r="X75" s="287"/>
      <c r="Y75" s="8" t="s">
        <v>199</v>
      </c>
      <c r="Z75" s="35">
        <v>2</v>
      </c>
      <c r="AA75" s="35">
        <v>0</v>
      </c>
      <c r="AB75" s="35">
        <v>0</v>
      </c>
      <c r="AC75" s="35">
        <v>0</v>
      </c>
      <c r="AD75" s="108">
        <f>100%</f>
        <v>1</v>
      </c>
      <c r="AE75" s="292"/>
      <c r="AF75" s="8" t="s">
        <v>259</v>
      </c>
      <c r="AG75" s="8">
        <v>1</v>
      </c>
      <c r="AH75" s="8">
        <v>1</v>
      </c>
      <c r="AI75" s="29" t="s">
        <v>274</v>
      </c>
      <c r="AJ75" s="163"/>
      <c r="AK75" s="163"/>
      <c r="AL75" s="163"/>
      <c r="AM75" s="277"/>
      <c r="AN75" s="277"/>
      <c r="AO75" s="274"/>
      <c r="AP75" s="274"/>
      <c r="AQ75" s="287"/>
      <c r="AR75" s="272"/>
      <c r="AS75" s="272"/>
      <c r="AT75" s="268"/>
      <c r="AU75" s="268"/>
      <c r="AV75" s="268"/>
      <c r="AW75" s="268"/>
      <c r="AX75" s="268"/>
      <c r="AY75" s="50" t="s">
        <v>329</v>
      </c>
      <c r="AZ75" s="12"/>
      <c r="BA75" s="12"/>
      <c r="BB75" s="12"/>
    </row>
    <row r="76" spans="1:54" ht="113.25" customHeight="1" x14ac:dyDescent="0.25">
      <c r="A76" s="354"/>
      <c r="B76" s="354"/>
      <c r="C76" s="354"/>
      <c r="D76" s="359"/>
      <c r="E76" s="354"/>
      <c r="F76" s="354"/>
      <c r="G76" s="354"/>
      <c r="H76" s="354"/>
      <c r="I76" s="354"/>
      <c r="J76" s="359"/>
      <c r="K76" s="7" t="s">
        <v>127</v>
      </c>
      <c r="L76" s="15">
        <v>19</v>
      </c>
      <c r="M76" s="20">
        <v>2</v>
      </c>
      <c r="N76" s="20">
        <v>3</v>
      </c>
      <c r="O76" s="20">
        <v>4</v>
      </c>
      <c r="P76" s="20">
        <v>3</v>
      </c>
      <c r="Q76" s="12">
        <v>2</v>
      </c>
      <c r="R76" s="35">
        <v>0</v>
      </c>
      <c r="S76" s="35">
        <v>0</v>
      </c>
      <c r="T76" s="35">
        <v>0</v>
      </c>
      <c r="U76" s="35">
        <f>Q76</f>
        <v>2</v>
      </c>
      <c r="V76" s="35">
        <f t="shared" si="6"/>
        <v>21</v>
      </c>
      <c r="W76" s="35"/>
      <c r="X76" s="287"/>
      <c r="Y76" s="8" t="s">
        <v>200</v>
      </c>
      <c r="Z76" s="35">
        <v>2</v>
      </c>
      <c r="AA76" s="35">
        <v>0</v>
      </c>
      <c r="AB76" s="35">
        <v>0</v>
      </c>
      <c r="AC76" s="35">
        <v>0</v>
      </c>
      <c r="AD76" s="108">
        <f>Z76/AH76</f>
        <v>0.5</v>
      </c>
      <c r="AE76" s="292"/>
      <c r="AF76" s="8" t="s">
        <v>260</v>
      </c>
      <c r="AG76" s="8">
        <v>11</v>
      </c>
      <c r="AH76" s="8">
        <v>4</v>
      </c>
      <c r="AI76" s="29" t="s">
        <v>274</v>
      </c>
      <c r="AJ76" s="163"/>
      <c r="AK76" s="163"/>
      <c r="AL76" s="163"/>
      <c r="AM76" s="277"/>
      <c r="AN76" s="277"/>
      <c r="AO76" s="274"/>
      <c r="AP76" s="274"/>
      <c r="AQ76" s="287"/>
      <c r="AR76" s="272"/>
      <c r="AS76" s="272"/>
      <c r="AT76" s="268"/>
      <c r="AU76" s="268"/>
      <c r="AV76" s="268"/>
      <c r="AW76" s="268"/>
      <c r="AX76" s="268"/>
      <c r="AY76" s="50" t="s">
        <v>330</v>
      </c>
      <c r="AZ76" s="12"/>
      <c r="BA76" s="12"/>
      <c r="BB76" s="12"/>
    </row>
    <row r="77" spans="1:54" ht="126.75" customHeight="1" x14ac:dyDescent="0.25">
      <c r="A77" s="354"/>
      <c r="B77" s="354"/>
      <c r="C77" s="354"/>
      <c r="D77" s="359"/>
      <c r="E77" s="354"/>
      <c r="F77" s="354"/>
      <c r="G77" s="354"/>
      <c r="H77" s="354"/>
      <c r="I77" s="354"/>
      <c r="J77" s="359"/>
      <c r="K77" s="7" t="s">
        <v>128</v>
      </c>
      <c r="L77" s="15">
        <v>0</v>
      </c>
      <c r="M77" s="20">
        <v>0</v>
      </c>
      <c r="N77" s="20">
        <v>1</v>
      </c>
      <c r="O77" s="20">
        <v>0</v>
      </c>
      <c r="P77" s="20">
        <v>0</v>
      </c>
      <c r="Q77" s="12">
        <v>0</v>
      </c>
      <c r="R77" s="35">
        <v>0</v>
      </c>
      <c r="S77" s="35">
        <v>0</v>
      </c>
      <c r="T77" s="35">
        <v>0</v>
      </c>
      <c r="U77" s="35">
        <f>0</f>
        <v>0</v>
      </c>
      <c r="V77" s="35">
        <f t="shared" si="6"/>
        <v>0</v>
      </c>
      <c r="W77" s="35"/>
      <c r="X77" s="287"/>
      <c r="Y77" s="8" t="s">
        <v>128</v>
      </c>
      <c r="Z77" s="35">
        <v>0</v>
      </c>
      <c r="AA77" s="35">
        <v>0</v>
      </c>
      <c r="AB77" s="35">
        <v>0</v>
      </c>
      <c r="AC77" s="35">
        <v>0</v>
      </c>
      <c r="AD77" s="108">
        <f>0/AH77</f>
        <v>0</v>
      </c>
      <c r="AE77" s="293"/>
      <c r="AF77" s="8" t="s">
        <v>261</v>
      </c>
      <c r="AG77" s="39">
        <v>0</v>
      </c>
      <c r="AH77" s="8">
        <v>1</v>
      </c>
      <c r="AI77" s="29" t="s">
        <v>274</v>
      </c>
      <c r="AJ77" s="164"/>
      <c r="AK77" s="164"/>
      <c r="AL77" s="164"/>
      <c r="AM77" s="278"/>
      <c r="AN77" s="278"/>
      <c r="AO77" s="275"/>
      <c r="AP77" s="275"/>
      <c r="AQ77" s="287"/>
      <c r="AR77" s="270"/>
      <c r="AS77" s="270"/>
      <c r="AT77" s="271"/>
      <c r="AU77" s="271"/>
      <c r="AV77" s="271"/>
      <c r="AW77" s="271"/>
      <c r="AX77" s="271"/>
      <c r="AY77" s="50" t="s">
        <v>358</v>
      </c>
      <c r="AZ77" s="72" t="s">
        <v>393</v>
      </c>
      <c r="BA77" s="78" t="s">
        <v>426</v>
      </c>
      <c r="BB77" s="12"/>
    </row>
    <row r="78" spans="1:54" ht="88.5" customHeight="1" x14ac:dyDescent="0.25">
      <c r="A78" s="354"/>
      <c r="B78" s="354" t="s">
        <v>61</v>
      </c>
      <c r="C78" s="354" t="s">
        <v>62</v>
      </c>
      <c r="D78" s="359" t="s">
        <v>63</v>
      </c>
      <c r="E78" s="354" t="s">
        <v>64</v>
      </c>
      <c r="F78" s="354">
        <v>0</v>
      </c>
      <c r="G78" s="354">
        <v>0</v>
      </c>
      <c r="H78" s="354">
        <v>0</v>
      </c>
      <c r="I78" s="354">
        <v>0</v>
      </c>
      <c r="J78" s="365" t="s">
        <v>129</v>
      </c>
      <c r="K78" s="5" t="s">
        <v>130</v>
      </c>
      <c r="L78" s="15">
        <v>0</v>
      </c>
      <c r="M78" s="20">
        <v>0</v>
      </c>
      <c r="N78" s="20">
        <v>1</v>
      </c>
      <c r="O78" s="20">
        <v>0</v>
      </c>
      <c r="P78" s="20">
        <v>0</v>
      </c>
      <c r="Q78" s="12">
        <v>0</v>
      </c>
      <c r="R78" s="12">
        <v>0</v>
      </c>
      <c r="S78" s="35">
        <v>0</v>
      </c>
      <c r="T78" s="35">
        <v>0</v>
      </c>
      <c r="U78" s="35">
        <f>0</f>
        <v>0</v>
      </c>
      <c r="V78" s="35">
        <f t="shared" si="6"/>
        <v>0</v>
      </c>
      <c r="W78" s="35"/>
      <c r="X78" s="314" t="s">
        <v>201</v>
      </c>
      <c r="Y78" s="8" t="s">
        <v>130</v>
      </c>
      <c r="Z78" s="35">
        <v>0</v>
      </c>
      <c r="AA78" s="35">
        <v>0</v>
      </c>
      <c r="AB78" s="35">
        <v>0</v>
      </c>
      <c r="AC78" s="35">
        <v>0</v>
      </c>
      <c r="AD78" s="108">
        <f>0/AH78</f>
        <v>0</v>
      </c>
      <c r="AE78" s="291">
        <f>SUM(AD78:AD81)/(4)</f>
        <v>0</v>
      </c>
      <c r="AF78" s="29" t="s">
        <v>273</v>
      </c>
      <c r="AG78" s="8">
        <v>0</v>
      </c>
      <c r="AH78" s="39">
        <v>1</v>
      </c>
      <c r="AI78" s="29" t="s">
        <v>274</v>
      </c>
      <c r="AJ78" s="311" t="s">
        <v>490</v>
      </c>
      <c r="AK78" s="311" t="s">
        <v>491</v>
      </c>
      <c r="AL78" s="311" t="s">
        <v>277</v>
      </c>
      <c r="AM78" s="276">
        <v>150000000</v>
      </c>
      <c r="AN78" s="284">
        <v>0</v>
      </c>
      <c r="AO78" s="279">
        <f>AN78/AM78</f>
        <v>0</v>
      </c>
      <c r="AP78" s="279">
        <f>AO78</f>
        <v>0</v>
      </c>
      <c r="AQ78" s="287" t="s">
        <v>447</v>
      </c>
      <c r="AR78" s="269" t="s">
        <v>299</v>
      </c>
      <c r="AS78" s="269" t="s">
        <v>277</v>
      </c>
      <c r="AT78" s="269">
        <v>150000000</v>
      </c>
      <c r="AU78" s="269">
        <v>0</v>
      </c>
      <c r="AV78" s="269">
        <v>0</v>
      </c>
      <c r="AW78" s="269">
        <v>0</v>
      </c>
      <c r="AX78" s="269">
        <v>0</v>
      </c>
      <c r="AY78" s="47"/>
      <c r="AZ78" s="12"/>
      <c r="BA78" s="12"/>
      <c r="BB78" s="12"/>
    </row>
    <row r="79" spans="1:54" ht="79.5" customHeight="1" x14ac:dyDescent="0.25">
      <c r="A79" s="354"/>
      <c r="B79" s="354"/>
      <c r="C79" s="354"/>
      <c r="D79" s="359"/>
      <c r="E79" s="354"/>
      <c r="F79" s="354"/>
      <c r="G79" s="354"/>
      <c r="H79" s="354"/>
      <c r="I79" s="354"/>
      <c r="J79" s="359"/>
      <c r="K79" s="5" t="s">
        <v>131</v>
      </c>
      <c r="L79" s="15">
        <v>0</v>
      </c>
      <c r="M79" s="20">
        <v>0</v>
      </c>
      <c r="N79" s="20">
        <v>1</v>
      </c>
      <c r="O79" s="20">
        <v>0</v>
      </c>
      <c r="P79" s="20">
        <v>0</v>
      </c>
      <c r="Q79" s="12">
        <v>0</v>
      </c>
      <c r="R79" s="12">
        <v>0</v>
      </c>
      <c r="S79" s="35">
        <v>0</v>
      </c>
      <c r="T79" s="35">
        <v>0</v>
      </c>
      <c r="U79" s="35">
        <f>0</f>
        <v>0</v>
      </c>
      <c r="V79" s="35">
        <f t="shared" si="6"/>
        <v>0</v>
      </c>
      <c r="W79" s="35"/>
      <c r="X79" s="314"/>
      <c r="Y79" s="8" t="s">
        <v>131</v>
      </c>
      <c r="Z79" s="35">
        <v>0</v>
      </c>
      <c r="AA79" s="35">
        <v>0</v>
      </c>
      <c r="AB79" s="35">
        <v>0</v>
      </c>
      <c r="AC79" s="35">
        <v>0</v>
      </c>
      <c r="AD79" s="108">
        <f>0/1</f>
        <v>0</v>
      </c>
      <c r="AE79" s="292"/>
      <c r="AF79" s="8" t="s">
        <v>262</v>
      </c>
      <c r="AG79" s="8">
        <v>0</v>
      </c>
      <c r="AH79" s="8" t="s">
        <v>263</v>
      </c>
      <c r="AI79" s="29" t="s">
        <v>274</v>
      </c>
      <c r="AJ79" s="309"/>
      <c r="AK79" s="309"/>
      <c r="AL79" s="309"/>
      <c r="AM79" s="277"/>
      <c r="AN79" s="285"/>
      <c r="AO79" s="280"/>
      <c r="AP79" s="280"/>
      <c r="AQ79" s="287"/>
      <c r="AR79" s="272"/>
      <c r="AS79" s="272"/>
      <c r="AT79" s="272"/>
      <c r="AU79" s="272"/>
      <c r="AV79" s="272"/>
      <c r="AW79" s="272"/>
      <c r="AX79" s="272"/>
      <c r="AY79" s="47"/>
      <c r="AZ79" s="12"/>
      <c r="BA79" s="12"/>
      <c r="BB79" s="12"/>
    </row>
    <row r="80" spans="1:54" ht="87" customHeight="1" x14ac:dyDescent="0.25">
      <c r="A80" s="354"/>
      <c r="B80" s="354"/>
      <c r="C80" s="354"/>
      <c r="D80" s="359"/>
      <c r="E80" s="354"/>
      <c r="F80" s="354"/>
      <c r="G80" s="354"/>
      <c r="H80" s="354"/>
      <c r="I80" s="354"/>
      <c r="J80" s="359"/>
      <c r="K80" s="5" t="s">
        <v>132</v>
      </c>
      <c r="L80" s="15">
        <v>0</v>
      </c>
      <c r="M80" s="12">
        <v>1</v>
      </c>
      <c r="N80" s="12">
        <v>0</v>
      </c>
      <c r="O80" s="12">
        <v>1</v>
      </c>
      <c r="P80" s="28">
        <v>1</v>
      </c>
      <c r="Q80" s="12">
        <v>0</v>
      </c>
      <c r="R80" s="12">
        <v>0</v>
      </c>
      <c r="S80" s="35">
        <v>0</v>
      </c>
      <c r="T80" s="35">
        <v>0</v>
      </c>
      <c r="U80" s="35">
        <f>0</f>
        <v>0</v>
      </c>
      <c r="V80" s="35">
        <f t="shared" si="6"/>
        <v>0</v>
      </c>
      <c r="W80" s="35"/>
      <c r="X80" s="314"/>
      <c r="Y80" s="8" t="s">
        <v>202</v>
      </c>
      <c r="Z80" s="35">
        <v>0</v>
      </c>
      <c r="AA80" s="35">
        <v>0</v>
      </c>
      <c r="AB80" s="35">
        <v>0</v>
      </c>
      <c r="AC80" s="35">
        <v>0</v>
      </c>
      <c r="AD80" s="108">
        <f>0/1</f>
        <v>0</v>
      </c>
      <c r="AE80" s="292"/>
      <c r="AF80" s="8" t="s">
        <v>264</v>
      </c>
      <c r="AG80" s="8">
        <v>0</v>
      </c>
      <c r="AH80" s="8" t="s">
        <v>263</v>
      </c>
      <c r="AI80" s="29" t="s">
        <v>274</v>
      </c>
      <c r="AJ80" s="309"/>
      <c r="AK80" s="309"/>
      <c r="AL80" s="309"/>
      <c r="AM80" s="277"/>
      <c r="AN80" s="285"/>
      <c r="AO80" s="280"/>
      <c r="AP80" s="280"/>
      <c r="AQ80" s="287"/>
      <c r="AR80" s="272"/>
      <c r="AS80" s="272"/>
      <c r="AT80" s="272"/>
      <c r="AU80" s="272"/>
      <c r="AV80" s="272"/>
      <c r="AW80" s="272"/>
      <c r="AX80" s="272"/>
      <c r="AY80" s="47"/>
      <c r="AZ80" s="12"/>
      <c r="BA80" s="12"/>
      <c r="BB80" s="12"/>
    </row>
    <row r="81" spans="1:54" ht="70.5" customHeight="1" x14ac:dyDescent="0.25">
      <c r="A81" s="354"/>
      <c r="B81" s="354"/>
      <c r="C81" s="354"/>
      <c r="D81" s="359"/>
      <c r="E81" s="354"/>
      <c r="F81" s="354"/>
      <c r="G81" s="354"/>
      <c r="H81" s="354"/>
      <c r="I81" s="354"/>
      <c r="J81" s="359"/>
      <c r="K81" s="5" t="s">
        <v>133</v>
      </c>
      <c r="L81" s="15">
        <v>11</v>
      </c>
      <c r="M81" s="25">
        <v>12</v>
      </c>
      <c r="N81" s="25">
        <v>25</v>
      </c>
      <c r="O81" s="25">
        <v>27</v>
      </c>
      <c r="P81" s="28">
        <v>27</v>
      </c>
      <c r="Q81" s="12">
        <v>0</v>
      </c>
      <c r="R81" s="12">
        <v>0</v>
      </c>
      <c r="S81" s="35">
        <v>0</v>
      </c>
      <c r="T81" s="35">
        <v>0</v>
      </c>
      <c r="U81" s="35">
        <f>0</f>
        <v>0</v>
      </c>
      <c r="V81" s="35">
        <f t="shared" si="6"/>
        <v>11</v>
      </c>
      <c r="W81" s="35"/>
      <c r="X81" s="314"/>
      <c r="Y81" s="8" t="s">
        <v>203</v>
      </c>
      <c r="Z81" s="35">
        <v>0</v>
      </c>
      <c r="AA81" s="35">
        <v>0</v>
      </c>
      <c r="AB81" s="35">
        <v>0</v>
      </c>
      <c r="AC81" s="35">
        <v>0</v>
      </c>
      <c r="AD81" s="108">
        <f>0/AH81</f>
        <v>0</v>
      </c>
      <c r="AE81" s="293"/>
      <c r="AF81" s="8" t="s">
        <v>265</v>
      </c>
      <c r="AG81" s="8">
        <v>2</v>
      </c>
      <c r="AH81" s="8">
        <v>53</v>
      </c>
      <c r="AI81" s="29" t="s">
        <v>274</v>
      </c>
      <c r="AJ81" s="310"/>
      <c r="AK81" s="310"/>
      <c r="AL81" s="310"/>
      <c r="AM81" s="278"/>
      <c r="AN81" s="286"/>
      <c r="AO81" s="281"/>
      <c r="AP81" s="281"/>
      <c r="AQ81" s="287"/>
      <c r="AR81" s="270"/>
      <c r="AS81" s="270"/>
      <c r="AT81" s="270"/>
      <c r="AU81" s="270"/>
      <c r="AV81" s="270"/>
      <c r="AW81" s="270"/>
      <c r="AX81" s="270"/>
      <c r="AY81" s="47"/>
      <c r="AZ81" s="12"/>
      <c r="BA81" s="12"/>
      <c r="BB81" s="12"/>
    </row>
    <row r="82" spans="1:54" ht="21" x14ac:dyDescent="0.35">
      <c r="AE82" s="113">
        <f>SUM(AE6:AE81)/(12)</f>
        <v>0.54410930469011654</v>
      </c>
      <c r="AM82" s="226">
        <f>SUM(AM6:AM81)</f>
        <v>43605721040</v>
      </c>
      <c r="AN82" s="226">
        <f>SUM(AN6:AN81)</f>
        <v>19428587096.310001</v>
      </c>
      <c r="AO82" s="113">
        <f>AN82/AM82</f>
        <v>0.44555133209442743</v>
      </c>
      <c r="AP82" s="113"/>
      <c r="AT82" s="86">
        <f>SUM(AT6:AT81)</f>
        <v>44205763962</v>
      </c>
      <c r="AW82" s="86">
        <f>SUM(AW6:AW81)</f>
        <v>18433061440</v>
      </c>
      <c r="AX82" s="86"/>
    </row>
  </sheetData>
  <mergeCells count="348">
    <mergeCell ref="A1:BB1"/>
    <mergeCell ref="AY3:AY4"/>
    <mergeCell ref="AZ3:AZ4"/>
    <mergeCell ref="BA3:BA4"/>
    <mergeCell ref="BB3:BB4"/>
    <mergeCell ref="AW42:AW48"/>
    <mergeCell ref="AV42:AV48"/>
    <mergeCell ref="AE6:AE11"/>
    <mergeCell ref="AE13:AE16"/>
    <mergeCell ref="AE17:AE19"/>
    <mergeCell ref="AE20:AE29"/>
    <mergeCell ref="AE30:AE38"/>
    <mergeCell ref="AE42:AE48"/>
    <mergeCell ref="AU42:AU48"/>
    <mergeCell ref="AU6:AU11"/>
    <mergeCell ref="AU13:AU16"/>
    <mergeCell ref="AU17:AU19"/>
    <mergeCell ref="AU30:AU31"/>
    <mergeCell ref="AU36:AU38"/>
    <mergeCell ref="AU21:AU29"/>
    <mergeCell ref="AP42:AP48"/>
    <mergeCell ref="AT6:AT11"/>
    <mergeCell ref="AS13:AS16"/>
    <mergeCell ref="AS30:AS31"/>
    <mergeCell ref="AR17:AR19"/>
    <mergeCell ref="AS17:AS19"/>
    <mergeCell ref="AT17:AT19"/>
    <mergeCell ref="AR13:AR16"/>
    <mergeCell ref="AS42:AS48"/>
    <mergeCell ref="AT42:AT48"/>
    <mergeCell ref="AT13:AT16"/>
    <mergeCell ref="AR21:AR29"/>
    <mergeCell ref="AS21:AS29"/>
    <mergeCell ref="AT36:AT38"/>
    <mergeCell ref="AT21:AT29"/>
    <mergeCell ref="AW51:AW55"/>
    <mergeCell ref="AW56:AW57"/>
    <mergeCell ref="AW49:AW50"/>
    <mergeCell ref="AW6:AW11"/>
    <mergeCell ref="AW13:AW16"/>
    <mergeCell ref="AX6:AX11"/>
    <mergeCell ref="AX13:AX16"/>
    <mergeCell ref="AX17:AX19"/>
    <mergeCell ref="AW17:AW19"/>
    <mergeCell ref="AW21:AW29"/>
    <mergeCell ref="AW30:AW31"/>
    <mergeCell ref="AX21:AX29"/>
    <mergeCell ref="AX30:AX31"/>
    <mergeCell ref="AV6:AV11"/>
    <mergeCell ref="AV13:AV16"/>
    <mergeCell ref="AV17:AV19"/>
    <mergeCell ref="AV30:AV31"/>
    <mergeCell ref="AV36:AV38"/>
    <mergeCell ref="AV21:AV29"/>
    <mergeCell ref="AV49:AV50"/>
    <mergeCell ref="AV51:AV55"/>
    <mergeCell ref="AV56:AV57"/>
    <mergeCell ref="A17:A19"/>
    <mergeCell ref="B17:B19"/>
    <mergeCell ref="C17:C19"/>
    <mergeCell ref="D17:D19"/>
    <mergeCell ref="A6:A16"/>
    <mergeCell ref="B6:B16"/>
    <mergeCell ref="C6:C16"/>
    <mergeCell ref="D6:D11"/>
    <mergeCell ref="E6:E11"/>
    <mergeCell ref="D13:D16"/>
    <mergeCell ref="E13:E16"/>
    <mergeCell ref="E17:E19"/>
    <mergeCell ref="C78:C81"/>
    <mergeCell ref="D78:D81"/>
    <mergeCell ref="C58:C77"/>
    <mergeCell ref="D58:D68"/>
    <mergeCell ref="D69:D72"/>
    <mergeCell ref="A20:A81"/>
    <mergeCell ref="B20:B77"/>
    <mergeCell ref="C20:C57"/>
    <mergeCell ref="D20:D29"/>
    <mergeCell ref="D30:D38"/>
    <mergeCell ref="D51:D57"/>
    <mergeCell ref="B78:B81"/>
    <mergeCell ref="D73:D77"/>
    <mergeCell ref="D49:D50"/>
    <mergeCell ref="F13:F16"/>
    <mergeCell ref="F56:F57"/>
    <mergeCell ref="G69:G70"/>
    <mergeCell ref="I74:I77"/>
    <mergeCell ref="G6:G11"/>
    <mergeCell ref="G13:G16"/>
    <mergeCell ref="G17:G19"/>
    <mergeCell ref="G43:G44"/>
    <mergeCell ref="G49:G50"/>
    <mergeCell ref="G54:G55"/>
    <mergeCell ref="F49:F50"/>
    <mergeCell ref="F54:F55"/>
    <mergeCell ref="F17:F19"/>
    <mergeCell ref="F30:F31"/>
    <mergeCell ref="F6:F11"/>
    <mergeCell ref="G56:G57"/>
    <mergeCell ref="I49:I50"/>
    <mergeCell ref="I30:I31"/>
    <mergeCell ref="E74:E77"/>
    <mergeCell ref="E30:E31"/>
    <mergeCell ref="E32:E34"/>
    <mergeCell ref="E43:E44"/>
    <mergeCell ref="E56:E57"/>
    <mergeCell ref="I54:I55"/>
    <mergeCell ref="F32:F34"/>
    <mergeCell ref="E49:E50"/>
    <mergeCell ref="E54:E55"/>
    <mergeCell ref="AQ42:AQ48"/>
    <mergeCell ref="AR42:AR48"/>
    <mergeCell ref="I17:I19"/>
    <mergeCell ref="E78:E81"/>
    <mergeCell ref="E69:E70"/>
    <mergeCell ref="F43:F44"/>
    <mergeCell ref="D42:D48"/>
    <mergeCell ref="E62:E63"/>
    <mergeCell ref="AQ20:AQ29"/>
    <mergeCell ref="AQ30:AQ31"/>
    <mergeCell ref="AQ32:AQ34"/>
    <mergeCell ref="X21:X29"/>
    <mergeCell ref="Q32:Q33"/>
    <mergeCell ref="P32:P33"/>
    <mergeCell ref="N32:N33"/>
    <mergeCell ref="O32:O33"/>
    <mergeCell ref="AQ36:AQ38"/>
    <mergeCell ref="AQ49:AQ50"/>
    <mergeCell ref="AQ51:AQ57"/>
    <mergeCell ref="AQ58:AQ68"/>
    <mergeCell ref="G32:G34"/>
    <mergeCell ref="G30:G31"/>
    <mergeCell ref="R32:R33"/>
    <mergeCell ref="J58:J68"/>
    <mergeCell ref="H30:H31"/>
    <mergeCell ref="H32:H34"/>
    <mergeCell ref="H43:H44"/>
    <mergeCell ref="H54:H55"/>
    <mergeCell ref="J73:J77"/>
    <mergeCell ref="J78:J81"/>
    <mergeCell ref="X69:X72"/>
    <mergeCell ref="L56:L57"/>
    <mergeCell ref="H74:H77"/>
    <mergeCell ref="X51:X57"/>
    <mergeCell ref="X58:X68"/>
    <mergeCell ref="S56:S57"/>
    <mergeCell ref="AE49:AE50"/>
    <mergeCell ref="X78:X81"/>
    <mergeCell ref="AL49:AL50"/>
    <mergeCell ref="J20:J21"/>
    <mergeCell ref="J30:J31"/>
    <mergeCell ref="J56:J57"/>
    <mergeCell ref="I56:I57"/>
    <mergeCell ref="G62:G63"/>
    <mergeCell ref="J69:J72"/>
    <mergeCell ref="H69:H70"/>
    <mergeCell ref="H56:H57"/>
    <mergeCell ref="H62:H63"/>
    <mergeCell ref="H49:H50"/>
    <mergeCell ref="I32:I34"/>
    <mergeCell ref="I43:I44"/>
    <mergeCell ref="I69:I70"/>
    <mergeCell ref="AJ58:AJ68"/>
    <mergeCell ref="AK58:AK68"/>
    <mergeCell ref="AL58:AL68"/>
    <mergeCell ref="AJ49:AJ50"/>
    <mergeCell ref="AK49:AK50"/>
    <mergeCell ref="G78:G81"/>
    <mergeCell ref="H78:H81"/>
    <mergeCell ref="M56:M57"/>
    <mergeCell ref="J13:J16"/>
    <mergeCell ref="J32:J34"/>
    <mergeCell ref="J36:J38"/>
    <mergeCell ref="J49:J50"/>
    <mergeCell ref="J51:J55"/>
    <mergeCell ref="X30:X31"/>
    <mergeCell ref="X32:X34"/>
    <mergeCell ref="X36:X38"/>
    <mergeCell ref="K56:K57"/>
    <mergeCell ref="R56:R57"/>
    <mergeCell ref="K32:K33"/>
    <mergeCell ref="P56:P57"/>
    <mergeCell ref="Q56:Q57"/>
    <mergeCell ref="X49:X50"/>
    <mergeCell ref="K45:K48"/>
    <mergeCell ref="N56:N57"/>
    <mergeCell ref="O56:O57"/>
    <mergeCell ref="J17:J19"/>
    <mergeCell ref="H6:H11"/>
    <mergeCell ref="H13:H16"/>
    <mergeCell ref="H17:H19"/>
    <mergeCell ref="AR6:AR11"/>
    <mergeCell ref="AS6:AS11"/>
    <mergeCell ref="M32:M33"/>
    <mergeCell ref="L32:L33"/>
    <mergeCell ref="J22:J29"/>
    <mergeCell ref="AR30:AR31"/>
    <mergeCell ref="I6:I11"/>
    <mergeCell ref="I13:I16"/>
    <mergeCell ref="AP6:AP11"/>
    <mergeCell ref="AP13:AP16"/>
    <mergeCell ref="AP17:AP19"/>
    <mergeCell ref="AP20:AP29"/>
    <mergeCell ref="AK17:AK19"/>
    <mergeCell ref="AL17:AL19"/>
    <mergeCell ref="AN17:AN19"/>
    <mergeCell ref="AM17:AM19"/>
    <mergeCell ref="AO17:AO19"/>
    <mergeCell ref="J6:J11"/>
    <mergeCell ref="AJ7:AJ11"/>
    <mergeCell ref="AK7:AK11"/>
    <mergeCell ref="AJ17:AJ19"/>
    <mergeCell ref="AE69:AE72"/>
    <mergeCell ref="AE73:AE77"/>
    <mergeCell ref="AE78:AE81"/>
    <mergeCell ref="AO78:AO81"/>
    <mergeCell ref="BA56:BA57"/>
    <mergeCell ref="AS58:AS68"/>
    <mergeCell ref="AT58:AT68"/>
    <mergeCell ref="AX58:AX68"/>
    <mergeCell ref="AX69:AX72"/>
    <mergeCell ref="AX73:AX77"/>
    <mergeCell ref="AX78:AX81"/>
    <mergeCell ref="AN78:AN81"/>
    <mergeCell ref="AM78:AM81"/>
    <mergeCell ref="AR58:AR68"/>
    <mergeCell ref="AP58:AP68"/>
    <mergeCell ref="AJ78:AJ81"/>
    <mergeCell ref="AK78:AK81"/>
    <mergeCell ref="AL78:AL81"/>
    <mergeCell ref="AR56:AR57"/>
    <mergeCell ref="AR73:AR77"/>
    <mergeCell ref="AZ56:AZ57"/>
    <mergeCell ref="AY56:AY57"/>
    <mergeCell ref="X42:X48"/>
    <mergeCell ref="J42:J48"/>
    <mergeCell ref="AS73:AS77"/>
    <mergeCell ref="AT73:AT77"/>
    <mergeCell ref="AR69:AR72"/>
    <mergeCell ref="AS69:AS72"/>
    <mergeCell ref="X73:X77"/>
    <mergeCell ref="AT56:AT57"/>
    <mergeCell ref="T56:T57"/>
    <mergeCell ref="AS56:AS57"/>
    <mergeCell ref="AE51:AE57"/>
    <mergeCell ref="AE58:AE68"/>
    <mergeCell ref="AO49:AO50"/>
    <mergeCell ref="AN49:AN50"/>
    <mergeCell ref="AM49:AM50"/>
    <mergeCell ref="AR49:AR50"/>
    <mergeCell ref="AS49:AS50"/>
    <mergeCell ref="AT49:AT50"/>
    <mergeCell ref="AS51:AS55"/>
    <mergeCell ref="AT51:AT55"/>
    <mergeCell ref="AO73:AO77"/>
    <mergeCell ref="AN73:AN77"/>
    <mergeCell ref="AM73:AM77"/>
    <mergeCell ref="AQ69:AQ72"/>
    <mergeCell ref="AX36:AX38"/>
    <mergeCell ref="AX42:AX48"/>
    <mergeCell ref="AX49:AX50"/>
    <mergeCell ref="AX51:AX55"/>
    <mergeCell ref="AX56:AX57"/>
    <mergeCell ref="BB56:BB57"/>
    <mergeCell ref="F78:F81"/>
    <mergeCell ref="F62:F63"/>
    <mergeCell ref="F69:F70"/>
    <mergeCell ref="F74:F77"/>
    <mergeCell ref="AR78:AR81"/>
    <mergeCell ref="AS78:AS81"/>
    <mergeCell ref="AT78:AT81"/>
    <mergeCell ref="G74:G77"/>
    <mergeCell ref="AW58:AW68"/>
    <mergeCell ref="AW69:AW72"/>
    <mergeCell ref="AW73:AW77"/>
    <mergeCell ref="AW78:AW81"/>
    <mergeCell ref="AV69:AV72"/>
    <mergeCell ref="AV73:AV77"/>
    <mergeCell ref="AV78:AV81"/>
    <mergeCell ref="I62:I63"/>
    <mergeCell ref="AM58:AM68"/>
    <mergeCell ref="I78:I81"/>
    <mergeCell ref="AU51:AU55"/>
    <mergeCell ref="AW36:AW38"/>
    <mergeCell ref="AU56:AU57"/>
    <mergeCell ref="AU58:AU68"/>
    <mergeCell ref="AU78:AU81"/>
    <mergeCell ref="AU69:AU72"/>
    <mergeCell ref="AU73:AU77"/>
    <mergeCell ref="AO58:AO68"/>
    <mergeCell ref="AN58:AN68"/>
    <mergeCell ref="AR36:AR38"/>
    <mergeCell ref="AS36:AS38"/>
    <mergeCell ref="AP69:AP72"/>
    <mergeCell ref="AP73:AP77"/>
    <mergeCell ref="AP78:AP81"/>
    <mergeCell ref="AP30:AP40"/>
    <mergeCell ref="AV58:AV68"/>
    <mergeCell ref="AP49:AP50"/>
    <mergeCell ref="AP51:AP52"/>
    <mergeCell ref="AT30:AT31"/>
    <mergeCell ref="AU49:AU50"/>
    <mergeCell ref="AQ73:AQ77"/>
    <mergeCell ref="AQ78:AQ81"/>
    <mergeCell ref="AT69:AT72"/>
    <mergeCell ref="AR51:AR55"/>
    <mergeCell ref="AP3:AP4"/>
    <mergeCell ref="AR3:AX3"/>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U3:U4"/>
    <mergeCell ref="V3:V4"/>
    <mergeCell ref="AN3:AN4"/>
    <mergeCell ref="AO3:AO4"/>
    <mergeCell ref="AQ3:AQ4"/>
    <mergeCell ref="R3:R4"/>
    <mergeCell ref="S3:S4"/>
    <mergeCell ref="T3:T4"/>
    <mergeCell ref="X3:X4"/>
    <mergeCell ref="AE3:AE4"/>
    <mergeCell ref="AM3:AM4"/>
    <mergeCell ref="AF3:AH3"/>
    <mergeCell ref="AI3:AI4"/>
    <mergeCell ref="W3:W4"/>
    <mergeCell ref="Y3:Y4"/>
    <mergeCell ref="Z3:Z4"/>
    <mergeCell ref="AA3:AA4"/>
    <mergeCell ref="AB3:AB4"/>
    <mergeCell ref="AC3:AC4"/>
    <mergeCell ref="AD3:AD4"/>
    <mergeCell ref="AJ3:AJ4"/>
    <mergeCell ref="AK3:AK4"/>
    <mergeCell ref="AL3:AL4"/>
  </mergeCells>
  <pageMargins left="0.70866141732283472" right="0.70866141732283472" top="0.74803149606299213" bottom="0.74803149606299213" header="0.31496062992125984" footer="0.31496062992125984"/>
  <pageSetup paperSize="5" scale="4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PLAN ACCION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severiche monroy</dc:creator>
  <cp:lastModifiedBy>ester  garcia turizo</cp:lastModifiedBy>
  <cp:lastPrinted>2018-10-04T16:09:51Z</cp:lastPrinted>
  <dcterms:created xsi:type="dcterms:W3CDTF">2018-02-06T19:52:13Z</dcterms:created>
  <dcterms:modified xsi:type="dcterms:W3CDTF">2019-01-31T17:16:56Z</dcterms:modified>
</cp:coreProperties>
</file>