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arcia.CARTAGENA\Desktop\Nueva carpeta (2)\"/>
    </mc:Choice>
  </mc:AlternateContent>
  <bookViews>
    <workbookView xWindow="0" yWindow="0" windowWidth="20490" windowHeight="7155"/>
  </bookViews>
  <sheets>
    <sheet name="SEGUIMIENTO 31 DE DICIEMBRE 18 " sheetId="1" r:id="rId1"/>
    <sheet name="Hoja1"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69" i="1" l="1"/>
  <c r="Y65" i="1"/>
  <c r="X66" i="1"/>
  <c r="X65" i="1"/>
  <c r="Y58" i="1"/>
  <c r="X63" i="1"/>
  <c r="X62" i="1"/>
  <c r="X58" i="1"/>
  <c r="Y49" i="1"/>
  <c r="X55" i="1"/>
  <c r="W51" i="1"/>
  <c r="W54" i="1"/>
  <c r="Y22" i="1"/>
  <c r="X48" i="1"/>
  <c r="X47" i="1"/>
  <c r="X46" i="1"/>
  <c r="X44" i="1"/>
  <c r="X40" i="1"/>
  <c r="X38" i="1"/>
  <c r="X36" i="1"/>
  <c r="X33" i="1"/>
  <c r="X28" i="1"/>
  <c r="X23" i="1"/>
  <c r="W26" i="1"/>
  <c r="W25" i="1"/>
  <c r="W24" i="1"/>
  <c r="Y5" i="1"/>
  <c r="X20" i="1"/>
  <c r="X19" i="1"/>
  <c r="X15" i="1"/>
  <c r="W15" i="1"/>
  <c r="X11" i="1"/>
  <c r="W12" i="1"/>
  <c r="X9" i="1"/>
  <c r="W9" i="1"/>
  <c r="W7" i="1"/>
  <c r="W8" i="1"/>
  <c r="W6" i="1"/>
  <c r="V7" i="1"/>
  <c r="W13" i="1"/>
  <c r="W14" i="1"/>
  <c r="W16" i="1"/>
  <c r="W20" i="1"/>
  <c r="W21" i="1"/>
  <c r="W22" i="1"/>
  <c r="W27" i="1"/>
  <c r="W29" i="1"/>
  <c r="W30" i="1"/>
  <c r="W31" i="1"/>
  <c r="W32" i="1"/>
  <c r="W36" i="1"/>
  <c r="W38" i="1"/>
  <c r="W39" i="1"/>
  <c r="W41" i="1"/>
  <c r="W42" i="1"/>
  <c r="W44" i="1"/>
  <c r="W46" i="1"/>
  <c r="W49" i="1"/>
  <c r="W52" i="1"/>
  <c r="W57" i="1"/>
  <c r="W59" i="1"/>
  <c r="W60" i="1"/>
  <c r="W62" i="1"/>
  <c r="W63" i="1"/>
  <c r="W65" i="1"/>
  <c r="W66" i="1"/>
  <c r="W67" i="1"/>
  <c r="W5" i="1"/>
  <c r="V51" i="1"/>
  <c r="V48" i="1"/>
  <c r="V47" i="1"/>
  <c r="V43" i="1"/>
  <c r="V40" i="1"/>
  <c r="V23" i="1"/>
  <c r="V22" i="1"/>
  <c r="V18" i="1"/>
  <c r="V15" i="1"/>
  <c r="V12" i="1"/>
  <c r="V11" i="1"/>
  <c r="V9" i="1"/>
  <c r="V6" i="1"/>
  <c r="V8" i="1"/>
  <c r="V13" i="1"/>
  <c r="V14" i="1"/>
  <c r="V16" i="1"/>
  <c r="V17" i="1"/>
  <c r="V19" i="1"/>
  <c r="V20" i="1"/>
  <c r="V21" i="1"/>
  <c r="V28" i="1"/>
  <c r="V29" i="1"/>
  <c r="V30" i="1"/>
  <c r="V31" i="1"/>
  <c r="V32" i="1"/>
  <c r="V36" i="1"/>
  <c r="V38" i="1"/>
  <c r="V39" i="1"/>
  <c r="V41" i="1"/>
  <c r="V42" i="1"/>
  <c r="V45" i="1"/>
  <c r="V46" i="1"/>
  <c r="V49" i="1"/>
  <c r="V52" i="1"/>
  <c r="V54" i="1"/>
  <c r="V56" i="1"/>
  <c r="V57" i="1"/>
  <c r="V60" i="1"/>
  <c r="V62" i="1"/>
  <c r="V63" i="1"/>
  <c r="V65" i="1"/>
  <c r="V66" i="1"/>
  <c r="V67" i="1"/>
  <c r="V5" i="1"/>
  <c r="X49" i="1" l="1"/>
  <c r="X5" i="1"/>
  <c r="H58" i="1"/>
  <c r="H32" i="1"/>
  <c r="H29" i="1" l="1"/>
  <c r="H26" i="1"/>
  <c r="H22" i="1"/>
  <c r="H7" i="1"/>
  <c r="H5" i="1"/>
  <c r="AS69" i="1" l="1"/>
  <c r="AR69" i="1"/>
  <c r="AQ69" i="1"/>
  <c r="AS5" i="1"/>
  <c r="AS65" i="1"/>
  <c r="AS58" i="1"/>
  <c r="AS49" i="1"/>
  <c r="AS22" i="1"/>
  <c r="AF51" i="1"/>
  <c r="AD13" i="1" l="1"/>
  <c r="AE54" i="1" l="1"/>
  <c r="AF54" i="1" s="1"/>
  <c r="AG49" i="1" s="1"/>
  <c r="AG65" i="1" l="1"/>
  <c r="AG62" i="1"/>
  <c r="AG63" i="1"/>
  <c r="AE63" i="1"/>
  <c r="AF58" i="1"/>
  <c r="AG48" i="1"/>
  <c r="AG47" i="1"/>
  <c r="AF40" i="1"/>
  <c r="AG36" i="1" l="1"/>
  <c r="AG33" i="1"/>
  <c r="AE22" i="1"/>
  <c r="AF9" i="1"/>
  <c r="AF7" i="1"/>
  <c r="AE66" i="1" l="1"/>
  <c r="AE64" i="1"/>
  <c r="AE56" i="1"/>
  <c r="AC42" i="1"/>
  <c r="AC41" i="1"/>
  <c r="AE14" i="1"/>
  <c r="AE8" i="1" l="1"/>
  <c r="AE5" i="1"/>
  <c r="BA18" i="1"/>
  <c r="AE67" i="1" l="1"/>
  <c r="AF67" i="1" s="1"/>
  <c r="AE65" i="1"/>
  <c r="AE60" i="1"/>
  <c r="AF60" i="1" s="1"/>
  <c r="AE62" i="1"/>
  <c r="AE52" i="1"/>
  <c r="AE46" i="1"/>
  <c r="AE45" i="1"/>
  <c r="AE32" i="1"/>
  <c r="AE31" i="1"/>
  <c r="AE30" i="1"/>
  <c r="AE29" i="1"/>
  <c r="AE28" i="1"/>
  <c r="AE27" i="1"/>
  <c r="AE17" i="1"/>
  <c r="AE39" i="1" l="1"/>
  <c r="AE41" i="1" l="1"/>
  <c r="AF41" i="1" s="1"/>
  <c r="AE21" i="1" l="1"/>
  <c r="AE20" i="1"/>
  <c r="AF20" i="1" s="1"/>
  <c r="T13" i="1" l="1"/>
  <c r="AE48" i="1" l="1"/>
  <c r="AE40" i="1"/>
  <c r="AE26" i="1"/>
  <c r="AF26" i="1" s="1"/>
  <c r="AE25" i="1"/>
  <c r="AF25" i="1" s="1"/>
  <c r="AE24" i="1"/>
  <c r="AF24" i="1" s="1"/>
  <c r="AF13" i="1" l="1"/>
  <c r="M5" i="1" l="1"/>
  <c r="AL5" i="1"/>
  <c r="AF5" i="1" s="1"/>
  <c r="AG5" i="1" s="1"/>
  <c r="M6" i="1"/>
  <c r="AE6" i="1"/>
  <c r="AL6" i="1"/>
  <c r="M8" i="1"/>
  <c r="AL8" i="1"/>
  <c r="AF8" i="1" s="1"/>
  <c r="H9" i="1"/>
  <c r="AE10" i="1"/>
  <c r="AF10" i="1" s="1"/>
  <c r="AG9" i="1" s="1"/>
  <c r="M11" i="1"/>
  <c r="H12" i="1"/>
  <c r="AE12" i="1"/>
  <c r="M14" i="1"/>
  <c r="AL14" i="1"/>
  <c r="AF14" i="1" s="1"/>
  <c r="AG11" i="1" s="1"/>
  <c r="AE15" i="1"/>
  <c r="AF15" i="1" s="1"/>
  <c r="AE16" i="1"/>
  <c r="AF16" i="1" s="1"/>
  <c r="M17" i="1"/>
  <c r="AE18" i="1"/>
  <c r="M19" i="1"/>
  <c r="AE19" i="1"/>
  <c r="AL19" i="1"/>
  <c r="M20" i="1"/>
  <c r="M21" i="1"/>
  <c r="Q21" i="1"/>
  <c r="AL21" i="1"/>
  <c r="AF21" i="1" s="1"/>
  <c r="AG20" i="1" s="1"/>
  <c r="M22" i="1"/>
  <c r="AL22" i="1"/>
  <c r="M23" i="1"/>
  <c r="AL23" i="1"/>
  <c r="M27" i="1"/>
  <c r="AL27" i="1"/>
  <c r="AF27" i="1" s="1"/>
  <c r="AG22" i="1" s="1"/>
  <c r="K28" i="1"/>
  <c r="AL28" i="1"/>
  <c r="AL29" i="1"/>
  <c r="AF29" i="1" s="1"/>
  <c r="AL30" i="1"/>
  <c r="AF30" i="1" s="1"/>
  <c r="AL31" i="1"/>
  <c r="AF31" i="1" s="1"/>
  <c r="AL32" i="1"/>
  <c r="AF32" i="1" s="1"/>
  <c r="M33" i="1"/>
  <c r="AL33" i="1"/>
  <c r="M34" i="1"/>
  <c r="M35" i="1"/>
  <c r="N35" i="1"/>
  <c r="P35" i="1" s="1"/>
  <c r="AL35" i="1"/>
  <c r="AE36" i="1"/>
  <c r="AE38" i="1"/>
  <c r="AL38" i="1"/>
  <c r="M39" i="1"/>
  <c r="AL39" i="1"/>
  <c r="AE42" i="1"/>
  <c r="AL42" i="1"/>
  <c r="AE43" i="1"/>
  <c r="AL46" i="1"/>
  <c r="AF46" i="1" s="1"/>
  <c r="AG46" i="1" s="1"/>
  <c r="AE47" i="1"/>
  <c r="AE50" i="1"/>
  <c r="K52" i="1"/>
  <c r="AL52" i="1"/>
  <c r="AF52" i="1" s="1"/>
  <c r="AE53" i="1"/>
  <c r="K54" i="1"/>
  <c r="AE55" i="1"/>
  <c r="M56" i="1"/>
  <c r="AL56" i="1"/>
  <c r="AF56" i="1" s="1"/>
  <c r="M57" i="1"/>
  <c r="AE57" i="1"/>
  <c r="AL57" i="1"/>
  <c r="K58" i="1"/>
  <c r="AE59" i="1"/>
  <c r="AL59" i="1"/>
  <c r="AL61" i="1"/>
  <c r="K63" i="1"/>
  <c r="M63" i="1"/>
  <c r="AL63" i="1"/>
  <c r="M64" i="1"/>
  <c r="AL64" i="1"/>
  <c r="H65" i="1"/>
  <c r="AL65" i="1"/>
  <c r="M66" i="1"/>
  <c r="AL66" i="1"/>
  <c r="AF66" i="1" s="1"/>
  <c r="AG66" i="1" s="1"/>
  <c r="AH65" i="1" s="1"/>
  <c r="AG28" i="1" l="1"/>
  <c r="AF59" i="1"/>
  <c r="AG58" i="1" s="1"/>
  <c r="AH58" i="1" s="1"/>
  <c r="AF42" i="1"/>
  <c r="AG40" i="1" s="1"/>
  <c r="AF38" i="1"/>
  <c r="AG38" i="1" s="1"/>
  <c r="AF19" i="1"/>
  <c r="AG19" i="1" s="1"/>
  <c r="AG15" i="1"/>
  <c r="AH5" i="1" s="1"/>
  <c r="AF57" i="1"/>
  <c r="AG55" i="1"/>
  <c r="AH49" i="1" s="1"/>
  <c r="O35" i="1"/>
  <c r="Q35" i="1" s="1"/>
  <c r="AH22" i="1" l="1"/>
  <c r="AH69" i="1" s="1"/>
</calcChain>
</file>

<file path=xl/sharedStrings.xml><?xml version="1.0" encoding="utf-8"?>
<sst xmlns="http://schemas.openxmlformats.org/spreadsheetml/2006/main" count="639" uniqueCount="424">
  <si>
    <t>(1) OBJETIVO</t>
  </si>
  <si>
    <t>(2) EJE ESTRATEGICO</t>
  </si>
  <si>
    <t>(3) LINEA ESTRATEGICA</t>
  </si>
  <si>
    <t>(4) PROGRAMA</t>
  </si>
  <si>
    <t>(5) META RESULTADO PLAN DE DESARROLLO</t>
  </si>
  <si>
    <t>(6) SUBPROGRAMA</t>
  </si>
  <si>
    <t>(7) META PRODUCTO PLAN DE DESARROLLO A 2019</t>
  </si>
  <si>
    <t>AVANCE ACUMULADO 2017 (2016+2017)</t>
  </si>
  <si>
    <t>META PRODUCTO 2016 SEGÚN PLAN INDICATIVO</t>
  </si>
  <si>
    <t>META PRODUCTO 2017 SEGÚN PLAN INDICATIVO</t>
  </si>
  <si>
    <t>META PRODUCTO 2018 SEGÚN PLAN INDICATIVO</t>
  </si>
  <si>
    <t>META PRODUCTO 2019 SEGÚN PLAN INDICATIVO</t>
  </si>
  <si>
    <t>(9) PROYECTO</t>
  </si>
  <si>
    <t>(12) INDICADOR</t>
  </si>
  <si>
    <t>( 13) CRONOGRAMA PROGRAMADO</t>
  </si>
  <si>
    <t>( 14) RESPONSABLE</t>
  </si>
  <si>
    <t>(15) RECURSOS</t>
  </si>
  <si>
    <t>(A) NOMBRE</t>
  </si>
  <si>
    <t>( A ) RUBRO PRESUPUESTAL</t>
  </si>
  <si>
    <t>( B) FUENTE</t>
  </si>
  <si>
    <t>( C ) MONTO</t>
  </si>
  <si>
    <t xml:space="preserve"> (D) MONTO EJECUTADO</t>
  </si>
  <si>
    <t>(8B) REPORTE META PRODUCTO EJECUTADA A  SEPTIEMBRE DE 2018</t>
  </si>
  <si>
    <t>CARTAGENA INCLUYENTE</t>
  </si>
  <si>
    <t>COBERTURA E INFRAESTRUCTURA</t>
  </si>
  <si>
    <t>LA CALIDAD DIGNIFICA</t>
  </si>
  <si>
    <t>FORTALECIMIENTO DE LA GESTIÓN DEL SISTEMA EDUCATIVO DISTRITAL DE CARTAGENA</t>
  </si>
  <si>
    <t>EDUCACIÓN SUPERIOR: JÓVENES FORMADOS CON CALIDAD</t>
  </si>
  <si>
    <t>EDUCAR PARA UN NUEVO PAÍS</t>
  </si>
  <si>
    <t xml:space="preserve">Aumentar al 74% la tasa de cobertura neta en preescolar (sin extraedad) </t>
  </si>
  <si>
    <t xml:space="preserve">Aumentar al 59% la tasa de cobertura neta en educación media global </t>
  </si>
  <si>
    <t xml:space="preserve">Disminuir al 3,7% la tasa de deserción </t>
  </si>
  <si>
    <t xml:space="preserve">Disminuir al 1,5% la tasa de analfabetismo </t>
  </si>
  <si>
    <t xml:space="preserve">Aumentar a 5,7 el Indice Sintetico de Calidad Educativa-ISCE, en Basica Primaria </t>
  </si>
  <si>
    <t xml:space="preserve">Aumentar a 5,7 el Indice Sintetico de Calidad Educativa-ISCE, en Basica Secundaria  </t>
  </si>
  <si>
    <t xml:space="preserve">Aumentar a 6,2 el Indice Sintetico de Calidad Educativa-ISCE, en La Media </t>
  </si>
  <si>
    <t xml:space="preserve">Disminuir al 40% la brecha porcentual  entre área rural y urbana de IEO  en la clasificación "D" en prueba Saber 11°  </t>
  </si>
  <si>
    <t xml:space="preserve">70% de satisfacción de los usuarios del sector Educativo oficial del Distrito de Cartagena </t>
  </si>
  <si>
    <t xml:space="preserve">Aumentar al 80% el Nivel de Eficacia del SGC </t>
  </si>
  <si>
    <t xml:space="preserve">15% de estudiantes  universitarios, egresados del sistema educativo oficial financiados por el Distrito </t>
  </si>
  <si>
    <t xml:space="preserve">80% de IEOs desarrollando actividades para la construcción de paz </t>
  </si>
  <si>
    <t>IMPULSO AL DESARROLLO DE LA PRIMERA INFANCIA</t>
  </si>
  <si>
    <t>PRIMERO LA ESCUELA</t>
  </si>
  <si>
    <t>NADIE SE VA</t>
  </si>
  <si>
    <t>INCLUSION EDUCATIVA</t>
  </si>
  <si>
    <t xml:space="preserve">EDUCACIÓN PARA JÓVENES Y ADULTOS </t>
  </si>
  <si>
    <t>PLAN DE INFRAESTRUCTURA EDUCATIVA DISTRITAL</t>
  </si>
  <si>
    <t xml:space="preserve">SABER MAS, SABER MEJOR </t>
  </si>
  <si>
    <t xml:space="preserve">MEJORES DOCENTES Y DIRECTIVOS DOCENTES </t>
  </si>
  <si>
    <t xml:space="preserve">ACTUALIZACIÓN DE CURRÍCULOS ESCOLARES </t>
  </si>
  <si>
    <t>ESCUELAS BILINGUES</t>
  </si>
  <si>
    <t>FORTALECIMIENTO DE LA ETNOEDUCACIÓN</t>
  </si>
  <si>
    <t>INCORPORACIÓN  DE LA TECNOLOGÍA  EN EL PROCESO DE ENSEÑANZA APRENDIZAJE</t>
  </si>
  <si>
    <t>LA ESCUELA COMO  EJE INTEGRADOR  DE LOS PROCESOS FORMATIVOS</t>
  </si>
  <si>
    <t>EDUCAR PARA LA COMPETITIVIDAD Y LA CONFIANZA SOCIAL</t>
  </si>
  <si>
    <t>ESCUELAS VERDES</t>
  </si>
  <si>
    <t>CIUDAD -ESCUELA COMPROMISO DE TODOS Y PARA TODOS</t>
  </si>
  <si>
    <t xml:space="preserve">FORTALECIMIENTO DE LA GESTIÓN Y CONSTRUCCIÓN DE SINERGIAS POR LA EDUCACIÓN </t>
  </si>
  <si>
    <t>ESTANDARIZACIÓN DE PROCESOS EN INSTITUCIONES EDUCATIVAS OFICIALES</t>
  </si>
  <si>
    <t>FORTALECIMIENTO DE LA EDUCACIÓN MEDIA TÉCNICA Y SU ARTICULACIÓN CON LA EDUCACIÓN SUPERIOR A TRAVÉS DE LA CADENA DE FORMACIÓN</t>
  </si>
  <si>
    <t>FORTALECIMIENTO DE LA INSTITUCIÓN TECNOLÓGICA COLEGIO MAYOR DE BOLÍVAR</t>
  </si>
  <si>
    <t>BECAS A LA EXCELENCIA</t>
  </si>
  <si>
    <t>DE JÓVENES EN RIESGO A JÓVENES CON FUTURO</t>
  </si>
  <si>
    <t>IMPLEMENTACIÓN DE LA CÁTEDRA CARTAGENA EN PAZ</t>
  </si>
  <si>
    <t xml:space="preserve">Sistema de Inspección y Vigilancia de Hogares Infantiles  y CDI Fortalecido y Ejercido en el componente educativo.        </t>
  </si>
  <si>
    <t xml:space="preserve">80 Hogares Infantiles  y CDI intervenidos en el componente educativo.        </t>
  </si>
  <si>
    <t xml:space="preserve">14500 Estudiantes Matriculados en Preescolar  (Transición) </t>
  </si>
  <si>
    <t xml:space="preserve">100 Aulas Escolares nuevas construidas  para Preescolar </t>
  </si>
  <si>
    <t xml:space="preserve">21700 estudiantes de educación media dentro del sistema educativo oficial </t>
  </si>
  <si>
    <t xml:space="preserve">4000 Estudiantes transportados anualmente a sus sedes de IEO para garantizarles educación.  </t>
  </si>
  <si>
    <t xml:space="preserve">5000 estudiantes atendidos con modelos flexibles. </t>
  </si>
  <si>
    <t xml:space="preserve">Un Sistema de Información para la prevención de la deserción implementado. </t>
  </si>
  <si>
    <t xml:space="preserve">4200 Estudiantes con necesidades educativas especiales Atendidos por el sistema educativo oficial   </t>
  </si>
  <si>
    <t xml:space="preserve">5 equipos interdisciplinarios para apoyo a las IEO en la atención de Estudiantes con NEE </t>
  </si>
  <si>
    <t xml:space="preserve">800 docentes cualificados en atención de estudiantes con  NEE. </t>
  </si>
  <si>
    <t xml:space="preserve">12000 estudiantes victimas dentro del sistema educativo </t>
  </si>
  <si>
    <t xml:space="preserve">800 jóvenes y adultos atendidos en ciclo Lectivo educativo I (CLEI Nivel 1) </t>
  </si>
  <si>
    <t xml:space="preserve">Un Plan de Infraestructura Educativa formulado </t>
  </si>
  <si>
    <t xml:space="preserve">432  Aulas Nuevas al servicio de la educación en jornada única </t>
  </si>
  <si>
    <t xml:space="preserve">35 Establecimientos Educativos  Oficiales con  Índice Sintético de Calidad Educativa-ISCE en la Media, con nivel al menos igual al ISCE promedio Nacional. 
</t>
  </si>
  <si>
    <t xml:space="preserve">25 Establecimientos Educativos Oficiales con grado 11° con desempeños alineados en la clasificacion A+ , A  y B </t>
  </si>
  <si>
    <t>Mejorar  Componente Desempeño (ISCE) Básica primaria  a 2,64</t>
  </si>
  <si>
    <t>Mejorar componente Desempeño (ISCE) Básica secundaria a 2,57</t>
  </si>
  <si>
    <t>Mejorar Componente Desempeño (ISCE) Media a 2,71</t>
  </si>
  <si>
    <t xml:space="preserve">104 IEO con semilleros de investigacion implementados </t>
  </si>
  <si>
    <t xml:space="preserve">1700 docentes formados en evaluación por competencias. </t>
  </si>
  <si>
    <t xml:space="preserve">800 docentes formados  en metodología de Investigación para el mejoramiento de la calidad educativa.  </t>
  </si>
  <si>
    <t xml:space="preserve">250 docentes y directivos docentes formados  en especializaciones y/o maestrías.   </t>
  </si>
  <si>
    <t xml:space="preserve">380 directivos docentes cualificados en gestión escolar. </t>
  </si>
  <si>
    <t xml:space="preserve">720 Docentes y directivos docentes con experiencias educativas innovadoras para el mejoramiento de la calidad educativa.  </t>
  </si>
  <si>
    <t xml:space="preserve">60 instituciones educativas con currículos ajustados a la política vigente e implementados.  </t>
  </si>
  <si>
    <t xml:space="preserve">60 Establecimientos Educativos Oficiales  con bajo indice en los indicadores de Calidad y Eficiencia Interna,fortalecidos en la gestión escolar integral. </t>
  </si>
  <si>
    <t>90 IEO con Proyectos Educativos Institucionales resignificados.</t>
  </si>
  <si>
    <t xml:space="preserve">26 IEO  etnoeducativas con PEI ajustados y actualizados. </t>
  </si>
  <si>
    <t xml:space="preserve">52  IEO que desarrollan la Cátedra de Estudios Afrocolombianos. </t>
  </si>
  <si>
    <t xml:space="preserve">9 niños por Terminal. </t>
  </si>
  <si>
    <t xml:space="preserve">4064 Docentes y directivos docentes formados en uso y apropiación de TIC. </t>
  </si>
  <si>
    <t xml:space="preserve">300 Docentes que aplican las TIC en proceso Enseñanza y Aprendizaje.  </t>
  </si>
  <si>
    <t xml:space="preserve">3000 usuarios que interactuan con la Plataforma Academica Colombia Evaluadora. </t>
  </si>
  <si>
    <t xml:space="preserve">Un Nodo social humanístico implementado.  </t>
  </si>
  <si>
    <t xml:space="preserve">15 Instituciones Educativas Oficiales beneficiadas con el  Nodo social humanístico implementado.   </t>
  </si>
  <si>
    <t xml:space="preserve">52 IEO con Programas de emprendimiento y empresarismo desarrollados. </t>
  </si>
  <si>
    <t xml:space="preserve">60 Proyectos Ambientales Educativos-PRAES ajustados en IEO. </t>
  </si>
  <si>
    <t xml:space="preserve">60  IEO con el Programa Escuela para Padres Fortalecido. </t>
  </si>
  <si>
    <t xml:space="preserve">Diseño y desarrollo del modelo de medición del nivel de satisfacción de los usuarios del servicio educativo oficial del DC. </t>
  </si>
  <si>
    <t xml:space="preserve">Diseño e implementación de la nueva Estrategia Institucional de la SED. </t>
  </si>
  <si>
    <t>Tiempo promedio de días de respuesta a peticiones quejas y reclamos</t>
  </si>
  <si>
    <t xml:space="preserve">Capacitación de 300 funcionarios administrativos en carrera administrativa. </t>
  </si>
  <si>
    <t xml:space="preserve">Actualización de SGC de la SED (ISO 9001:2008 a 9001:2015). </t>
  </si>
  <si>
    <t xml:space="preserve">24 metas de Indicadores SGC cumplidos. </t>
  </si>
  <si>
    <t xml:space="preserve">Modelo de gestión de procesos estandarizados conforme a la Norma ISO 9001:2015. </t>
  </si>
  <si>
    <t xml:space="preserve">30 IEO con procesos estandarizados implementados.  </t>
  </si>
  <si>
    <t xml:space="preserve">Actualización de SGC de en 8 IEO certificadas (ISO 9001:2008 a 9001:2015). </t>
  </si>
  <si>
    <t xml:space="preserve">7 Nodos Educativos de Media Técnica ampliados. </t>
  </si>
  <si>
    <t xml:space="preserve">13  Instituciones Educativas Oficiales con Educacion Media Tecnica con ambientes y materiales de aprendizajes fortalecidas. </t>
  </si>
  <si>
    <t xml:space="preserve">15  Instituciones Educativas con Educacion Media Tecnica articuladas a la Educacion Superior. </t>
  </si>
  <si>
    <t xml:space="preserve">84  IFTDH con acompañamiento técnico. </t>
  </si>
  <si>
    <t xml:space="preserve">28  Programas en la Institucion Tecnologica Colegio Mayor de Bolivar con registro calificado.  </t>
  </si>
  <si>
    <t xml:space="preserve">12503 egresados del sistema educativo oficial becados en estudios superiores. </t>
  </si>
  <si>
    <t xml:space="preserve">80 beneficiarios del  proyecto Ser Pilo Va Cartagena. </t>
  </si>
  <si>
    <t xml:space="preserve">500 Jóvenes en riesgo beneficiados con programas de educación para el trabajo y desarrollo humano.  </t>
  </si>
  <si>
    <t xml:space="preserve">1500 Docentes formados en justicia, reconciliación y tolerancia.  </t>
  </si>
  <si>
    <t xml:space="preserve">104  IEO con  la Cátedra Cartagena en Paz implementada. </t>
  </si>
  <si>
    <t xml:space="preserve">3% de estudiantes de I.E.O. con jornada extendida bilingüe con nivel mínimo  "B1" en las  pruebas saber 11°, según el MCERL </t>
  </si>
  <si>
    <t>INSTITUCIONES EDUCATIVAS OFICIALES OPERATIVAS- OPERACIÓN IEOs</t>
  </si>
  <si>
    <t>NADIE SE VA - Alimentacion escolar</t>
  </si>
  <si>
    <t>NADIE SE VA - Transporte escolar</t>
  </si>
  <si>
    <t>NADIE SE VA - Proyectos especiales</t>
  </si>
  <si>
    <t>ASESORÍA Y ACOMPAÑAMIENTO TÉCNICO PARA EL FORTALECIMIENTO DE LAS INSTITUCIONES DE FORMACIÓN PARA EL TRABAJO Y DESARROLLO HUMANO – IFTDH-</t>
  </si>
  <si>
    <t xml:space="preserve">No de Hogares Infantiles  y CDI intervenidos en el componente educativo.        </t>
  </si>
  <si>
    <t xml:space="preserve">Número de Estudiantes Matriculados en Preescolar  (Transición) </t>
  </si>
  <si>
    <t xml:space="preserve">Aulas Escolares nuevas construidas  para Preescolar </t>
  </si>
  <si>
    <t xml:space="preserve">No de estudiantes de educación media dentro del sistema educativo oficial </t>
  </si>
  <si>
    <t>No de IEO funcionando al 100% de su capacidad</t>
  </si>
  <si>
    <t xml:space="preserve">Número de Estudiantes transportados anualmente a sus sedes de IEO para garantizarles educación.  </t>
  </si>
  <si>
    <t xml:space="preserve">Número de estudiantes atendidos con modelos flexibles. </t>
  </si>
  <si>
    <t xml:space="preserve">Sistema de Información para la prevención de la deserción implementado. </t>
  </si>
  <si>
    <t xml:space="preserve">No. Estudiantes con necesidades educativas especiales Atendidos por el sistema educativo oficial anualmente  </t>
  </si>
  <si>
    <t xml:space="preserve">No de equipos interdisciplinarios para apoyo a las IEO en la atención de Estudiantes con NEE </t>
  </si>
  <si>
    <t xml:space="preserve">Número de docentes cualificados en atención de estudiantes con  NEE. </t>
  </si>
  <si>
    <t xml:space="preserve">Numero de estudiantes victimas dentro del sistema educativo </t>
  </si>
  <si>
    <t xml:space="preserve">Plan de Infraestructura Educativa formulado </t>
  </si>
  <si>
    <t xml:space="preserve">No de  Aulas Nuevas al servicio de la educación en jornada única </t>
  </si>
  <si>
    <t xml:space="preserve">No de Establecimientos Educativos  Oficiales con Índice Sintético de Calidad Educativa-ISCE en la Media, con nivel al menos igual al ISCE promedio Nacional. </t>
  </si>
  <si>
    <t xml:space="preserve">Número de Establecimientos Educativos Oficiales con grado 11° con desempeños alineados en la clasificacion A+ , A  y B </t>
  </si>
  <si>
    <t xml:space="preserve">Mejorar  Componente Desempeño (ISCE) Básica primaria  </t>
  </si>
  <si>
    <t xml:space="preserve">Mejorar componente Desempeño (ISCE) Básica secundaria </t>
  </si>
  <si>
    <t xml:space="preserve">Mejorar Componente Desempeño (ISCE) Media </t>
  </si>
  <si>
    <t xml:space="preserve">No de IEO con semilleros de investigacion implementados </t>
  </si>
  <si>
    <t xml:space="preserve">No de docentes formados en evaluación por competencias. </t>
  </si>
  <si>
    <t xml:space="preserve">No de docentes formados  en metodología de Investigación para el mejoramiento de la calidad educativa.  </t>
  </si>
  <si>
    <t xml:space="preserve">No de docentes y directivos docentes formados  en especializaciones y/o maestrías.   </t>
  </si>
  <si>
    <t xml:space="preserve">No de directivos docentes cualificados en gestión escolar. </t>
  </si>
  <si>
    <t xml:space="preserve">No  de Docentes y directivos docentes con experiencias educativas innovadoras para el mejoramiento de la calidad educativa.  </t>
  </si>
  <si>
    <t xml:space="preserve">No  de instituciones educativas con currículos ajustados a la política vigente e implementados.  </t>
  </si>
  <si>
    <t xml:space="preserve">No de Establecimientos Educativos Oficiales  con bajo indice en los indicadores de Calidad y Eficiencia Interna,fortalecidos en la gestión escolar integral. </t>
  </si>
  <si>
    <t>No de IEO con Proyectos Educativos Institucionales resignificados.</t>
  </si>
  <si>
    <t xml:space="preserve">% de estudiantes de I.E.O. con jornada extendida bilingüe con nivel mínimo  "B1" en las  pruebas saber 11°, según el MCERL </t>
  </si>
  <si>
    <t xml:space="preserve">No de IEO  etnoeducativas con PEI ajustados y actualizados. </t>
  </si>
  <si>
    <t xml:space="preserve">No de IEO que desarrollan la Cátedra de Estudios Afrocolombianos. </t>
  </si>
  <si>
    <t xml:space="preserve">No de niños por Terminal. </t>
  </si>
  <si>
    <t xml:space="preserve">Numero de Docentes y directivos docentes formados en uso y apropiación de TIC. </t>
  </si>
  <si>
    <t xml:space="preserve">Numero de Docentes que aplican las TIC en proceso Enseñanza y Aprendizaje.  </t>
  </si>
  <si>
    <t xml:space="preserve">Numero de usuarios que interactuan con la Plataforma Academica Colombia Evaluadora. </t>
  </si>
  <si>
    <t xml:space="preserve">Nodo social humanístico implementado.  </t>
  </si>
  <si>
    <t xml:space="preserve">Número de Instituciones Educativas Oficiales beneficiadas con el  Nodo social humanístico implementado.   </t>
  </si>
  <si>
    <t xml:space="preserve">No. De IEO con Programas de emprendimiento y empresarismo desarrollados. </t>
  </si>
  <si>
    <t xml:space="preserve">Proyectos Ambientales Educativos-PRAES ajustados en IEO. </t>
  </si>
  <si>
    <t xml:space="preserve">No. De IEO con el Programa Escuela para Padres Fortalecido. </t>
  </si>
  <si>
    <t xml:space="preserve">Capacitación de funcionarios administrativos en carrera administrativa. </t>
  </si>
  <si>
    <t xml:space="preserve">No de las metas de Indicadores SGC cumplidos. </t>
  </si>
  <si>
    <t xml:space="preserve">IEO con procesos estandarizados implementados.  </t>
  </si>
  <si>
    <t xml:space="preserve">Actualización de SGC de IEO certificadas (ISO 9001:2008 a 9001:2015). </t>
  </si>
  <si>
    <t xml:space="preserve">Número de Nodos Educativos de Media Técnica ampliados. </t>
  </si>
  <si>
    <t xml:space="preserve">No de Instituciones Educativas Oficiales con Educacion Media Tecnica con ambientes y materiales de aprendizajes fortalecidas. </t>
  </si>
  <si>
    <t xml:space="preserve">N° de Instituciones Educativas con Educacion Media Tecnica articuladas a la Educacion Superior. </t>
  </si>
  <si>
    <t xml:space="preserve">N° de IFTDH con acompañamiento técnico. </t>
  </si>
  <si>
    <t xml:space="preserve">No de Programas en la Institucion Tecnologica Colegio Mayor de Bolivar con registro calificado.  </t>
  </si>
  <si>
    <t xml:space="preserve">Número de egresados del sistema educativo oficial becados en estudios superiores. </t>
  </si>
  <si>
    <t xml:space="preserve">No de beneficiarios del  proyecto Ser Pilo Va Cartagena. </t>
  </si>
  <si>
    <t xml:space="preserve">No de Jóvenes en riesgo beneficiados con programas de educación para el trabajo y desarrollo humano.  </t>
  </si>
  <si>
    <t xml:space="preserve">Docentes formados en justicia, reconciliación y tolerancia.  </t>
  </si>
  <si>
    <t xml:space="preserve">No de IEO con  la Cátedra Cartagena en Paz implementada. </t>
  </si>
  <si>
    <t xml:space="preserve">Oviris Caraballo inspeccion y vigilancia </t>
  </si>
  <si>
    <t xml:space="preserve">Nini Torres Pu cobertura educativa </t>
  </si>
  <si>
    <t>Guillermo Peña Pu infraestructura educativa</t>
  </si>
  <si>
    <t>Mayiris Gomez Pu de cobertura educativa</t>
  </si>
  <si>
    <t xml:space="preserve">Ivan sanes director de cobertura educativa </t>
  </si>
  <si>
    <t>Claudia Chica Pu Cobertura educativa</t>
  </si>
  <si>
    <t>Romix Raad Pu Cobertura Educativa</t>
  </si>
  <si>
    <t xml:space="preserve">Livis Barrios Pu Calidad educativa </t>
  </si>
  <si>
    <t xml:space="preserve">Olga Maldonado Pu Calida educativa </t>
  </si>
  <si>
    <t xml:space="preserve">Edelmira Salgado Pu Calidad educativa </t>
  </si>
  <si>
    <t xml:space="preserve">Miguel Obeso Pu  Calida Educativa </t>
  </si>
  <si>
    <t xml:space="preserve">Marcela Meza Pu Informatica </t>
  </si>
  <si>
    <t xml:space="preserve">Ana Arnedo Pu Calida educativa </t>
  </si>
  <si>
    <t xml:space="preserve">Cecilia Morales Directora Calidad educativa </t>
  </si>
  <si>
    <t xml:space="preserve">Jose Gomez Asesor planeacion educativa  </t>
  </si>
  <si>
    <t>Marlene Sierra Pu Modernizacion</t>
  </si>
  <si>
    <t>German Barrios Pu Atencion al Cuidadano</t>
  </si>
  <si>
    <t>Katherine Gonzalez Pu Talento Humano</t>
  </si>
  <si>
    <t xml:space="preserve">Maria Eugenia Garcia Asesora de Educacion superior </t>
  </si>
  <si>
    <t>(8B) REPORTE META PROYECTO EJECUTADA A MARZO 31 DE 2018</t>
  </si>
  <si>
    <t>Enero-Diciembre</t>
  </si>
  <si>
    <t>02-026-06-95-01-06-01-03</t>
  </si>
  <si>
    <t xml:space="preserve">ICLD-SGP </t>
  </si>
  <si>
    <t xml:space="preserve">ICLD </t>
  </si>
  <si>
    <t>ICLD-SGP</t>
  </si>
  <si>
    <t>SGP</t>
  </si>
  <si>
    <t>ICLD</t>
  </si>
  <si>
    <t>ICLD  -  ReteICA</t>
  </si>
  <si>
    <t>(8B) REPORTE META PRODUCTO EJECUTADA A MARZO31 DE 2018</t>
  </si>
  <si>
    <t>Cecilia Morales calidada educativa Nini Torres Pu cobertura educativa</t>
  </si>
  <si>
    <t>Evaluación de la Meta  a 31/12/2018</t>
  </si>
  <si>
    <t>Meta ejecutada</t>
  </si>
  <si>
    <t>De becas Pilo a la fecha se tienen 28 estudiantes nuevos en 2018, egresados de instituciones oficiales del Distrito</t>
  </si>
  <si>
    <t>En la vigencia 2018, el Plan de Formacion Docente se encuentra en proceso de contratación. En alianza con la Fundacion para el Desarrollo PROANTIOQUIA, se formalizó la propuesta de formacion y acompañamiento para maestros de 30  IEO focalizadas para trabajar en dos grandes lineas: 1. el desarrollo de competencias socio emocionales y comunicativas con los maestros, 2. la apropiacion de herramientas utiles para mejorar los ambientes de aula.</t>
  </si>
  <si>
    <t>5 Equipos interdisciplinarios de 34 profesionales que atienden 12 instituciones Educativas con Necesidades Educativas Especiales, las IEO son Antonia Santos, Soledad Roman de Nuñez,Luis carlos lopez,Fulgencio Lequerica Velez, Cuidad de tunja, Republica del libano, Bayunca, Nueva esperanza de Arroyo grande,Nuestra señora del buen aire, Corazon de Maria,Olga Gonzalez de Araut, Arroyo de piedra,</t>
  </si>
  <si>
    <t xml:space="preserve">Este indicador es acumulativa por que los usuarios constantemente esta actuando con la plataforma </t>
  </si>
  <si>
    <r>
      <t>77000 Estudiantes atendidos con el PAE</t>
    </r>
    <r>
      <rPr>
        <b/>
        <sz val="12"/>
        <rFont val="Arial"/>
        <family val="2"/>
      </rPr>
      <t xml:space="preserve"> </t>
    </r>
  </si>
  <si>
    <t>ASIGNACIÓN DEFINITIVA SEGÚN PREDIS</t>
  </si>
  <si>
    <t>EJECUCION PRESUPUESTAL SEGÚN PREDIS</t>
  </si>
  <si>
    <r>
      <t>Número de Estudiantes atendidos con el PAE</t>
    </r>
    <r>
      <rPr>
        <b/>
        <sz val="12"/>
        <rFont val="Arial"/>
        <family val="2"/>
      </rPr>
      <t xml:space="preserve"> </t>
    </r>
    <r>
      <rPr>
        <sz val="12"/>
        <rFont val="Arial"/>
        <family val="2"/>
      </rPr>
      <t>anualmente</t>
    </r>
  </si>
  <si>
    <r>
      <t xml:space="preserve">No de jóvenes y adultos atendidos en ciclo Lectivo educativo I </t>
    </r>
    <r>
      <rPr>
        <b/>
        <sz val="12"/>
        <rFont val="Arial"/>
        <family val="2"/>
      </rPr>
      <t>(CLEI Nivel 1)</t>
    </r>
    <r>
      <rPr>
        <sz val="12"/>
        <rFont val="Arial"/>
        <family val="2"/>
      </rPr>
      <t xml:space="preserve"> </t>
    </r>
  </si>
  <si>
    <t>AVANCE EJECUCIÓN PRESUPUESTAL SEGÚN PREDIS-PLANEACIÓN</t>
  </si>
  <si>
    <t>ND</t>
  </si>
  <si>
    <t>LINEA BASE META RESULTADO 2015</t>
  </si>
  <si>
    <t>LINEA BASE META PRODUCTO 2015</t>
  </si>
  <si>
    <t>META PROYECTO ACUMULADO AL AÑO</t>
  </si>
  <si>
    <t>© VALOR A ALCANZAR A DICIEMBRE 31 DE 2018</t>
  </si>
  <si>
    <t>(B) VALOR ALCANZADO A  DIC 2016</t>
  </si>
  <si>
    <t xml:space="preserve">(B) VALOR ALCANZADO A  DIC 2017 </t>
  </si>
  <si>
    <t>(10) META PRODUCTO</t>
  </si>
  <si>
    <t>A corte 30 de junio de 2.018 tenemos funcionando al 100% de su capacidad a la totalidad de Instituciones Educativas Oficiales, sin embargo aproximadamente el 50% de las mismas requieren adecuaciones locativas para funcionar en optimas condiciones.</t>
  </si>
  <si>
    <t>En la vigencia 2018, el Plan de Formacion Docente se encuentra en proceso de contratación. En alianza con la Fundacion para el Desarrollo PROANTIOQUIA, se formalizó la propuesta de formacion y acompañamiento para maestros de 20  IEO focalizadas para trabajar en dos grandes lineas: 1. el desarrollo de competencias socio emocionales y comunicativas con los maestros, 2. la apropiacion de herramientas utiles para mejorar los ambientes de aula.</t>
  </si>
  <si>
    <t xml:space="preserve">En la vigencia 2018, el Plan de Formacion Docente se encuentra en proceso de contratación. En alianza con la Fundacion para el Desarrollo PROANTIOQUIA, se formalizó la propuesta de formacion y acompañamiento para maestros de 20  IEO focalizadas para trabajar en dos grandes lineas: 1. el desarrollo de competencias socio emocionales y comunicativas con los maestros, 2. la apropiacion de herramientas utiles para mejorar los ambientes de aula. </t>
  </si>
  <si>
    <t xml:space="preserve">Para la vigencia 2018, Se dio inicio al proceso de ajustute y actualizacion de los PEI etnoeducativos  en las Instituciones Educativas de Manzanillo del Mar, Benkos Bioho de Bocachica y Ana Maria Velez de Trujillo,  Por medio de alianza con la UNAD se encuentra en proceso de contruccion la Ruta Pedagogica Etnoeducativa para el acompañamiento de las Instituciones Educativas focalizadas. </t>
  </si>
  <si>
    <t>En la presente vigencia el Distrito no ha adquirido terminales nuevas para IEO, por tal motivo se manteniede el mismo indicador.</t>
  </si>
  <si>
    <t>1, Para la vigencia 2018, en alianza con REFICAR se dio inicio al  proyecto con la  intervencion psicosocial para  la Formación en Competencias Parentales para padres de familia con énfasis en la dimensión psicoactiva y crianza humanizada en tres IEO, Tecnica de Pasacaballos, Buen Aire y Jose Maria Cordoba.
              2,Se realizo  asistencia técnica a las IEO para realizar diagnostico de la situacion real de estas a fin de que las escuelas para padres responda a las necesidades particulares de estas.</t>
  </si>
  <si>
    <t xml:space="preserve">66,91% 
</t>
  </si>
  <si>
    <t xml:space="preserve">OBSERVACIONES A SEPTIEMBRE </t>
  </si>
  <si>
    <t>Meta ejecutada
Se continua con la divulgación de la Estrategia Institucional en la actividad de inducción  y reenducción a los funcionarios y contratistas que laboran en la secretaría de educación
Se realizaron jornadas de inducción a  54 contratistas y reinducción a  80 funcionarios aproximadamente incluyendo las UNALDES</t>
  </si>
  <si>
    <t>Durante el tercer trimestre del año el tiempo de respuesta de las PQR se sitiúa en 14 días, por debajo de la meta establecida</t>
  </si>
  <si>
    <t>Meta ejecutada a diciembre de 2017.
Se trabaja en actividades de  mejora del SGC.
Se realizó Taller de  Servicio No Conforme
Se revisó el contexto institucional y mapa riesgos por proceso
Se realizó Auditoría interna del 16 al 31 de julio
En etapa final de contratación la auditoría  de seguimiento al  SGC bajo la Norma ISO 9001:2015 y a los Procesos de Cobertura, Calidad Educativa, Talento Humano y Atención al Ciudadano, bajo las Especificaciones Técnicas del Ministerio de Educación Nacional</t>
  </si>
  <si>
    <t xml:space="preserve">  En la vigencia 2018, se realizan  Asistencias Tecnicas para la revisión, ajuste y actualizacion de los SIEE, en 21 IEO focalizadas,  las IEO que se encuentran en A, A+ y B son las siguientes: Col. Naval De Crespo
Institucion Educativa Promocion Social De C/Gena.
Institucion Educativa La Milagrosa
Institucion Educativa Soledad Acosta De Samper
Institucion Educativa Hermano Antonio Ramos De La Salle
Institucion Educativa Las Gaviotas
Institucion Educativa Bertha Gedeon De Baladi
Institucion Educativa Maria Auxiliadora
Institucion Educativa Luis C Galan Sarmiento
Institucion Educativa Ambientalista De Cartagena
Institucion Educativa Mercedes Abrego
Institucion Educativa 20 De Julio
Institucion Educativa La Libertad
Escuela Normal Superior De Cartagena De Indias
Institucion Educativa Ciudad De Tunja
Escuelas Profesionales Salesianas
Col. Ntra. Sra. De La Consolata
Col. Sueños Y Oportunidades Jesus Maestro
Col. Ntra. Sra. De Fatima De La Pol Nal
Institucion Educativa Camilo Torres Del Pozon
Institucion Educativa Soledad Roman De Nuñez
    </t>
  </si>
  <si>
    <t>A la fecha se encuentran actualizados los curriculos escolares de 6 IEO a través de la Asistencia Técnica de la SED: IE María Auxiliadora, IE Hermano Ramos de la Salle, IE San Lucas, IE Olga González Arraut, IE 20 de Julio, IE Promoción Social e IE La Boquilla.  Actualmente se encuentran en proceso de actualización 11 IEO a través de la Asistencia Técnica de la Alianza SED-Fundación Social-Promigas: IE Fe y Alegría Las Américas, IE Fredonia, IE Villa Estrella, IE La Libertad, IE Camilo Torres del Pozón, IE Valores Unidos, IE Nuestro Esfuerzo, IE Madre Gabriela, IE !4 de Febrero, IE Hijos de María, Seminario sede Pozón e IE Fulgencio Lequerica</t>
  </si>
  <si>
    <t xml:space="preserve">Entrega de Estìmulos por Ganadores actividades festivas 2017 al Festival Escolar JGU + Desfile Estudiantil -  
y Participación para el Festival Escolar JGU 2018 + Desfile de Heroes; Agenda Acadèmica del proyecto Certif. Destino y Catedra del Decenio AFRO + Desarrollo del Festival Escolar de mùsica y danza JGU 2018 + Desfile Estudiantil en homenaje a los Heroes de la Independencia - agenda cultural de 2018. 
Desarrollo de la propuesta pedagògica de BP - Fortalecimiento bandas orquestadas y gran formato, $200 
Pago Aplicado (Act. 20 de Julio) </t>
  </si>
  <si>
    <t xml:space="preserve">A este proyecto no se le asignaron recurso por tal razon el avances fisico de este indicador es cero,no estan en ejecucion dicho proyecto </t>
  </si>
  <si>
    <t xml:space="preserve">Entre el mes de junio  30 al 30 de septiembre de 2018, se dotaron de equipos de computos a los Nodos de:  El CASD con 10 equipos; y el Liceo Bolívar: 20 equipos de computos, y dos video bean; </t>
  </si>
  <si>
    <t xml:space="preserve">Entre el 30 de junio y el 30 de septiembre  del presente año se viene gestionando un modelo de articulación con la Universidades de la ciudad,  a la fecha tenemos la manifestación de Unicolombo; Tecnar y la UTB </t>
  </si>
  <si>
    <t>Es un trabajo que viene adelantando el Colegio Mayor, y sobre el cual no se ha reportado numero de programas acreditados, sin embargo todos sus programas cuentan con registro academico ante el MEN.</t>
  </si>
  <si>
    <t xml:space="preserve"> En el marco del convenio estbalecido con la Universidad de Cartagena se estan formando 200 docentes en  los temas de Cátedra de Paz, para mejorar la convivencia,  y construcción de ciudadanía y paz. </t>
  </si>
  <si>
    <t>Para fortalecer los procesos de Cátedra de Paz en el marco del nuevo modelo de Competencias Ciudanas orientado  por el Ministerio de Educación, se estableció Convenio con la Universidad de Cartagena para  realizar acompañamiento a las IEO focalizadas, con el fin de consolidar Proyectos Educativos pertinentes que incorporen  formación en valores, construcción de ciudadanía y Paz . Las Instituciones focalizadas son: Madre Laura, Nuevo Bosque, Ana Maria Velez, Santa María, Antonia Santos, Jose de VEga, Camilo Torres, Valores Unidos, Fulgencio Lequerica, Madre Gabriela, Veinte de Julio, Jhon F. Kennedy, Mercedes Abrego, Bertha Gedeon, Ternera, Manzanillo del Mar, Arroyo de Piedra, Bayunca, Arroyo Grande, Tierra Bomba.</t>
  </si>
  <si>
    <t>En la vigencia 2018, se dio inicio el proceso de formacion  en uso y apropiación de TIC a 53 docentes mediante la estrategia de Jornada Pedagógica de 4 Instituciones Educativas focalizadas  en Laboratorios LEGO, las IEO Son Antonio santos, Arroyo de Piedra, Olga Gonzalez de arraut, Maria Auxiliadora</t>
  </si>
  <si>
    <t>En la vigencia 2018, se dio inicio el proceso de acompañamiento en uso y apropiacion a  53 docentes  que aplican las TIC  por medio del ambiente de aprendizaje en ciencias y tecnologias LEGOS en  4 Instituciones Educativas del Distrito de Cartagena focalizadas.</t>
  </si>
  <si>
    <t xml:space="preserve">Desarrollo de una propuesta pedagògica sobre Competencias Ciudadanas por $204,300,000 
Direccionamiento  Señor Alcalde Mayor, UN NODO SOCIAL HUMANISTICO IMPLEMENTADO EN LA IE DE LA BOQUILLA CON ENFASIS EN MUSICA - APP - 
MUSIK UBER 
Apoyado con aval y asistencia técnica inicial de APP - Música cruzando el oceano - FM/ANDI; 
Hoy; autosostenible por la IE De La Boquilla </t>
  </si>
  <si>
    <t>(8B) REPORTE META  PROYECTO EJECUTADA A JUNIO DE 2018</t>
  </si>
  <si>
    <t>A corte 30 de septiembre de 2.018 se transportan 3.633 estudiantes por transporte terrestre y 309 estudiantes correspondiente a transporte fluvial, ya que se incrementó en 41 estudiantes la cobertura en este último. Adicionalmente se transportan 1.690 estudiantes con cupos contratados en 3 IE de Matrícula Contratada</t>
  </si>
  <si>
    <t>A corte 30 de septiembre de 2.018 se reportan en el SIMAT 3.694 estudiantes con NEE atendidso por el Sistema Educativo Oficial</t>
  </si>
  <si>
    <t>El indicador de Sistema de Inspección y Vigilancia de Hogares Infantiles y CDI no ha sido reglamentado por el Ministerio de Educación Nacional. Por lo tanto, el mismo no puede desarrollarse hasta tanto no se haya regulado la respectiva normatividad.</t>
  </si>
  <si>
    <t xml:space="preserve">Por Resolucion No.0136 del 05 de ENERO 2015, el cual se concede reconocimiento Oficial a la INSTITUCION EDUCATIVA DE SANTA ANA,para la ampliacion  cobertura en los programas de media tecnica </t>
  </si>
  <si>
    <t>El numero de estudiantes que realizan las pruebas saber 11 de la 3 IEO Con jornada extendida bilingüe  Son: Ambientalista 121 estudiante, Escuela normal superior 136 estudiante, Tecnica de pasacaballo 123, para un total de 380 estudiantes ,cabe notar que estamos ala espera de la publicacion de la prueba saber por partes del ICFES Para saber el porcentaje de estudiantes en nivel B1.</t>
  </si>
  <si>
    <t>participacion en taller de evalaucion organizado por la alcaldia mayor, desde la Subdireccion tecnica de talento humano ,se capacitaron 3 nuevo funcionarios de carrera administrativa en  CONTRATACION ESTATAL, para un total de 5 funcionario capacitado</t>
  </si>
  <si>
    <t>(8B)REPORTE META PRODUCTO EJECUTADA A 30 JUNIO DE 2018</t>
  </si>
  <si>
    <t>No ha sido posible llegar a la meta establecida por no contar con las aulas y con los docentes apropiadas para tal fin.  Cabe notar que el indicador bajo por que en el  mes de agosto y septiembre hay desercion escolar de algunos estudiantes.</t>
  </si>
  <si>
    <t>En la vigencia 2018, se esta realizando acompañamiento del PTA,  desde hace cinco años en 81 IEO focalizadas en Basica Secundaria.  Para este año  no se aplicaran pruebas saber 3,5,9 por indicaciones del ministerio de educación nacional y icfes.</t>
  </si>
  <si>
    <t xml:space="preserve">Mesas de trabajo con aliados potenciales para presentar proyecto de semilleros de investigación y establecimiento de convenio. </t>
  </si>
  <si>
    <t xml:space="preserve">
A 30/09/2018 se realizó el taller del proceso  de Gestión Directiva, participando 8 de las 16 IEO focalizadas en el proyecto para la vigencia 2018. En el  mes de octubre se realizará  convocatoria del Taller del proceso  Académico  y plenaria de socialización general de las caracterizaciones implementadas en las 16 IEO.</t>
  </si>
  <si>
    <t xml:space="preserve">  Para este  indicador se mantienen las mismas 11 IEO Con ISCE Media Por Encima Del Nivel Nacional  ISCE Nal Media ISCE IEO
1 Institución Educativa Mercedes Abrego 5,94 7,35168171
2 Institución Educativa Promoción Social De C/Gena. 5,94 7,34470367
3 Institución Educativa La Milagrosa 5,94 7,17963028
4 Institución Educativa Soledad Acosta De Samper 5,94 7,64610863
5 Institución Educativa Hermano Antonio Ramos De La Salle 5,94 7,67245817
6 Institución Educativa Las Gaviotas 5,94 7,41675472
7 Institución Educativa Ciudad De Tunja 5,94 7,27244091
8 Institución Educativa Bertha Gedeón De Baladí 5,94 7,5398922
9 Col. Ntra. Sra. De Fátima De La Pol Nal 5,94 7,46870804
10 Col. Naval De Crespo 5,94 7,68003178
11 Institución Educativa María Auxiliadora 5,94 7,44398928
</t>
  </si>
  <si>
    <t>En la vigencia 2018:                                     1. Se encuentra en proceso convenio con OIM con la Universidad Nacional para el acompañamiento al fortalecimiento de las competencias basicas a las  IEO focalizada.                                                        2. Fortalecimiento de las competenmias basicas atraves de la plataforma EDUCAR.                                                       3, Acompañamiento del PTA desde hace cinco años en 81 IEO focalizadas en Media.  Se esta a la espera de los resultados de pruebas SABER 11 para noviembre.</t>
  </si>
  <si>
    <t>Entró en marcha el Modelo de acompañamiento situado y a corte 30 de septiembre de 2.018 se intervinieron 99 Unidades de Servicio de hogares infantiles y CDI. Anexo listado.</t>
  </si>
  <si>
    <t xml:space="preserve">A corte 30 de septiembre de 2018, se iniciaron las labores para construcción de 4 aulas de preescolar en Politécnico del Pozón, proceso que va en un avance del 15% del total de la meta proyectada. </t>
  </si>
  <si>
    <t xml:space="preserve">A corte 30 de septiembre de 2.018 el Sistema de Información de Matrícula SIMAT registra un total de 19.910 estudiantes de educación media dentro del Sistema Educativo Oficial. Este indicador para el trimestre analizado, nos representa un porcentaje considerable de deserción escolar por diferentes razones.  Entre otras, que luego de las vacaciones de mediados de año, algunos estudiantes no regresan a las escuelas. En este caso,  
fueron alrededor de 260 estudiantes menos, lo que representa un 1.3%. La gran mayoría del grado décimo en IEO. </t>
  </si>
  <si>
    <t xml:space="preserve">A corte 30 de septiembre se benefician un total de 98.914 estudiantes con el Programa de Alimentación Escolar. La meta en este indicador se superó, debido a: 1) Amplicación de Instituciones Educativas de Jórnada Única (anteriormente se beneficiaron poblaciones de los niveles y grados de preescolar a básica primaria con la inclusión de estas IE se beneficia toda la matrícula reportada en SIMAT. 2) Focalizan IEO que ofertan la media técnica, esto supone la atención de estudiantes de 10° y 11°. 3) La focalización y priorización de IE del sector rural a ser atendidos acorde a lo establecido en la Resolución 29452 del 29 de diciembre de 2.017 </t>
  </si>
  <si>
    <t>La implementación de SIMPADE  en las Instituciones Educativas Oficiales a corte 30 de agosto de 2.018 está en un 100%. Al mismo corte, tenemos caracterizados en SIMPADE un total de 60.308 estudiantes, equivalente a un 49,31% del total de la matrícula reportada en SIMAT. La caracterización de todos los estudiantes nos permitirá contar con información   necesaria para ser analizada por los diferentes niveles de administración del sistema educativo, de tal manera que se puedan tomar decisiones que mejoren la permanencia escolar.</t>
  </si>
  <si>
    <t>Durante el trimestre comprendido entre el 30 de junio y el 30 de septiembre de 2.018, se cualificaron en atención de estudiantes con NEE 283 docentes de Instituciones Educativas Oficiales del Distrito de Cartagena.</t>
  </si>
  <si>
    <t>A corte 30 de septiembre de 2.018 se reporta 20.353 estudiantes víctimas dentro del sistema educativo. Dato confirmado despúes del cruce que se realiza con la Unidad de Víctimas y el SIMAT. La meta supera el 100% debido a que al momento de hacer el Plan de Desarrollo, no se contempló el cruce de bases de datos. Este proceso se realiza anualmente por medio de solicitud a la Unidad de Víctimas que es la entidad encargada de reportar la población vícitma, el cual arroja la población en el Registro ünico de Víctimas.</t>
  </si>
  <si>
    <t>A corte 30 de septiembre de 2018, se registra la atención educativa a Jóvenes y Adultos de 943 estudiantes en los ciclos I,II, III, IV, V y VI. De los cuales, un total de 50 estudiantes corresponden a (Ciclo CLEI I).</t>
  </si>
  <si>
    <t>A corte 30 de septiembre de 2.018, El Plan de infraestructura educativa, se firmó convenio con la Universidad de Cartagena, para la realización de la primera fase, es decir, el levantamiento del diagnostico y la alimentación del CIER. Cuya fase representa el 20% del avance del Plan de Infraestructura Educativa.</t>
  </si>
  <si>
    <t>En el trimestre comprendido entre el 30 junio y 30 de septiembre de 2.018, no se entregaron aulas nuevas. Los proyectos con el FFIE están en ejecución con un porcentaje de avance del 15% el cual busca alcanzar una meta de 60 aulas nuevas a 31 de diceimbre de 2.019.</t>
  </si>
  <si>
    <t>No se ha aporpiado recurso en el presupuesto actual para este proyecto; sin embargo desde la depedencia de  Inspección y Vigilancia con el acompañamiento del Ministerio de Educación  se ha dado asistencia técnica a -IFTDH  ; CENCADENT de la costa, CEFICC,ETHA dios es amor ,IDECTSA, Escuela Tecnica cartagena de indias, Escuela de Belleza luz Belsy, CECARH,Cruz roja, Corporacion educativa tecnica Senior-CTS, TWCETALIG, Academia estetica francesa, Cordecosta ,Secolombia, Ecosalud, ESCUDENT,CARL-ROS,MEN ETDH....</t>
  </si>
  <si>
    <t>En este indicador esta en  proceso de socializacion interna con la nueva asesora de planeacion educativa</t>
  </si>
  <si>
    <t>02-001-06-20-01-01-05-08</t>
  </si>
  <si>
    <t>( A ) RUBRO PRESUPUESTAL (Según Predis)</t>
  </si>
  <si>
    <t>( B) FUENTE (Según Predis)</t>
  </si>
  <si>
    <t>INGRESOS CORRIENTES DE LIBRE DESTINACION</t>
  </si>
  <si>
    <t>02-071-06-95-01-01-05-01</t>
  </si>
  <si>
    <t>SGP- EDUCACION</t>
  </si>
  <si>
    <t>02-001-06-20-01-01-04-01</t>
  </si>
  <si>
    <t>02-071-06-20-01-01-04-01</t>
  </si>
  <si>
    <t>SGP - EDUCACION</t>
  </si>
  <si>
    <t>Fondo Educativo - Bicentenario de Cartagena - ICAT 3%</t>
  </si>
  <si>
    <t>02-053-06-20-01-01-03-01</t>
  </si>
  <si>
    <t>02-001-06-20-01-01-02-05</t>
  </si>
  <si>
    <t>(8B) REPORTE META  PROYECTO EJECUTADA A 30 DE SEPTIEMBRE DE 2018</t>
  </si>
  <si>
    <t>Para la vigencia 2018, se realiazo Alianza con la UNAD para Asistir a la 8 Instituciones Educativas focalizadas ubicadas en la zona urbana que implementan  los procesos de Catedra de Estudios Afrocolombianos, las IEO focalizadas son: antonia santos, mercedes abrego, ana maria velez de trujillo, IE Puerto rey,Bocachica, Bayunca,Manzanillo del mar,Tecnica de boquilla , Aclaramos que en septiembre el reporte es cero por que son las misma instituciones que vienen del mes de junio en total son 8 acumuladas en los tres trimestres.</t>
  </si>
  <si>
    <t xml:space="preserve">De la LB del 2015 que se registro 40 IEO; se culmino de manera exitosa para ese período; actualmente y de igual forma con apoyo de ALIADOS, se está trabajando las IEO de la Localidad No.3 - Todas más BARU todas las IEO de la Isla lo que suma 37 IEO al corte, o sea 2018 
</t>
  </si>
  <si>
    <t xml:space="preserve">A la fecha se cuenta con actualización de los sistemas de gestión con la Norma ISO 9001:2015, las : 
I.E. 20 de Julio
I.E. Olga González Arraut
I.E. María Auxiliadora
I.E. Técnica de Pasacaballos
I.E. San Francisco de Asís
I. E. De la Boquilla
Madre Gabriela de San Martín , el resultado total del indicador es de 7 , la octava IEO  no presento auditoria en el tiempo estipulado  y continuamos acompañado para que al final del cuatrenio se logre la meta  </t>
  </si>
  <si>
    <t>MATRIZ DE REPORTE DE AVANCES PLAN DE ACCIÓN Y PLAN DE DESARROLLO SECRETARÍA DE EDUCACIÓN DISTRITAL
CORTE: SEPTIEMBRE 30 DE 2018</t>
  </si>
  <si>
    <t>EDUCACION PARA LA GENTE DEL SIGLO XXI</t>
  </si>
  <si>
    <t>SUPERAR LA DESIGUALDAD</t>
  </si>
  <si>
    <t>REPORTE META PRODUCTO EJECUTADA A  31 DICIEMBRE DE 2018</t>
  </si>
  <si>
    <t>REPORTE META  PROYECTO EJECUTADA A 31 DE DICIEMBRE DE 2018</t>
  </si>
  <si>
    <t xml:space="preserve">OBSERVACIONES A DICIEMBRE </t>
  </si>
  <si>
    <t>Se encuentra en marcha el Modelo de acompañamiento situado y a corte 31 de diciembre de 2.018 se cuenta con 99 Unidades de Servicio de hogares infantiles y CDI intervenidas. Anexo listado.</t>
  </si>
  <si>
    <t xml:space="preserve">A corte 31 de diciembre de 2.018 el Sistema de Información de Matrícula SIMAT registra un total de 19.804 estudiantes de educación media dentro del Sistema Educativo Oficial. Este indicador para el trimestre analizado, nos representa un porcentaje considerable de deserción escolar por diferentes razones.  Entre otras, que luego de las vacaciones de mediados de año, algunos estudiantes no regresan a las escuelas. En este caso,  
fueron alrededor de 106 estudiantes menos, con respecto a lo reportado a corte 30 de septuembre. La gran mayoría del grado décimo en IEO. </t>
  </si>
  <si>
    <t>A corte 31 de diciembre de 2.018 tenemos funcionando al 100% de su capacidad a la totalidad de Instituciones Educativas Oficiales, sin embargo aproximadamente el 50% de las mismas requieren adecuaciones locativas para funcionar en optimas condiciones.</t>
  </si>
  <si>
    <t xml:space="preserve">A corte 31 de diciembre se beneficiaron en total de 94.630 estudiantes con el Programa de Alimentación Escolar. La meta en este indicador se superó, debido a: 1) Amplicación de Instituciones Educativas de Jórnada Única (anteriormente se beneficiaron poblaciones de los niveles y grados de preescolar a básica primaria con la inclusión de estas IE se beneficia toda la matrícula reportada en SIMAT. 2) Focalizan IEO que ofertan la media técnica, esto supone la atención de estudiantes de 10° y 11°. 3) La focalización y priorización de IE del sector rural a ser atendidos acorde a lo establecido en la Resolución 29452 del 29 de diciembre de 2.017 </t>
  </si>
  <si>
    <t>A corte 31 de diciembre de 2.018 se transportaron 3.633 estudiantes por transporte terrestre y 309 estudiantes correspondiente a transporte fluvial, ya que se incrementó en 41 estudiantes la cobertura en este último. Adicionalmente se transportan 1.690 estudiantes con cupos contratados en tres (3) IE de Matrícula Contratada</t>
  </si>
  <si>
    <t>La implementación de SIMPADE  en las Instituciones Educativas Oficiales a corte 31 de diciembre de 2.018 está en un 100%. Al mismo corte, tenemos caracterizados en SIMPADE un total de 60.308 estudiantes, equivalente a un 49,31% del total de la matrícula reportada en SIMAT. La caracterización de todos los estudiantes nos permitirá contar con información   necesaria para ser analizada por los diferentes niveles de administración del sistema educativo, de tal manera que se puedan tomar decisiones que mejoren la permanencia escolar.</t>
  </si>
  <si>
    <t>A corte 31 de diciembre de 2.018 se reportan en el SIMAT 3.694 estudiantes con NEE atendidos por el Sistema Educativo Oficial</t>
  </si>
  <si>
    <t>Durante el trimestre comprendido entre el 30 de septiembre y el 31 de diciembre de 2.018, se cualificaron en atención de estudiantes con NEE 188 docentes de Instituciones Educativas Oficiales del Distrito de Cartagena. Para un total acumulable de XXx correspondiente a 652 docentes cualificados en trimestres anteriores, más los xxx cualificados en el último trismestre de la vigencia 2.018. Se supera la meta porque hace parte la estrategia de la implementación del Decreto 1421 de 2.017, el cual tiene la cualificación de los docentes como estrategia de fortalecimiento de las competencias de los docentes para atender la población con discapacidad incluidos y por ingresar a la educación regular.</t>
  </si>
  <si>
    <t>A corte 31 de diciembre de 2.018 se reporta 20.353 estudiantes víctimas dentro del sistema educativo. Dato confirmado despúes del cruce que se realiza con la Unidad de Víctimas y el SIMAT. La meta supera el 100% debido a que al momento de hacer el Plan de Desarrollo, no se contempló el cruce de bases de datos. Este proceso se realiza anualmente por medio de solicitud a la Unidad de Víctimas que es la entidad encargada de reportar la población vícitma, el cual arroja la población en el Registro ünico de Víctimas.</t>
  </si>
  <si>
    <t xml:space="preserve">En la vigencia 2018:                                                                                              1. Se encuentra en proceso convenio con OIM con la Universidad Nacional para el acompañamiento al fortalecimiento de las competencias basicas a las  IEO focalizada.                                                                                                               2. Fortalecimiento de las competencias basicas en lenguaje y matematicas a traves de convenio con la Universidad de Cartagena.                                                                                                        3, Acompañamiento del PTA desde hace cinco años en 81 IEO focalizadas en Media.  </t>
  </si>
  <si>
    <t xml:space="preserve">En la vigencia 2018:                                                                                              1. Se encuentra en proceso convenio con OIM con la Universidad Nacional para el acompañamiento al fortalecimiento de las competencias basicas a las  IEO focalizada.                                                                                                               2. Fortalecimiento de las competenmias basicas en lenguaje y matematicas a traves de convenio con la Universidad de Cartagena.                                                                                                         3, Acompañamiento del PTA desde hace cinco años en 81 IEO focalizadas en Media.  </t>
  </si>
  <si>
    <t>1. En la vigencia 2018, se dio inicio al  Plan de Formacion Docente vinculando a la Universidad de Cartagena, universidad Rafael Nuñez, Universidad San buenaventura, Universidad Tecnologica de Bolivar y Alianza Canadiense, realizando diplomados sobre las lineas de Formacion aprobadas en el Plan de Formacion docente, beneficiendo a 1760  docentes del distrito de cartagena, de los cuales 725 fueron formados por Universidad de cartagena.                                                                          2. En alianza con la Fundacion para el Desarrollo PROANTIOQUIA, se formalizó la propuesta de formacion y acompañamiento para maestros de 20  IEO focalizadas para trabajar en dos grandes lineas: 1. el desarrollo de competencias socio emocionales y comunicativas con los maestros, 2. la apropiacion de herramientas utiles para mejorar los ambientes de aula.</t>
  </si>
  <si>
    <t>A través de la alianza SED-Fundación Nutresa se esta implementado la ruta del Proyecto Educativo Líderes SXXI para el fortalecimiento de la gestión escolar y el desarrollo de capacidades de liderazgo de los equipos de gestión, en 25 IEO: IE Nuevo Bosque, IE Pedro de Heredia, IE Pontezuela, IE Antonia Santos, IE Antonio Nariño, IE INEM, IE María Cano, IE María Reina, IE Olga González, IE San Juan de Damasco, IE Nueva Esperanza de Arroyo Grande, IE Francisco de Paula Santander, IE Manzanillo del Mar, IE Santa María, IE Mandela, IE Bertha Gedeón,  IE Fernandez Baena, IE Jose de la Vega, IE Fernando de la Vega, IE Caño del Oro, IE Santa Ana, IE Ararca, IE Rafael Nuñez, IE Juan Jose NIeto e IE Soledad Roman de Nuñez.</t>
  </si>
  <si>
    <t xml:space="preserve">1. El numero de estudiantes que realizan las pruebas saber 11 de la 3 IEO Con jornada extendida bilingüe  Son: Ambientalista 121 estudiante, Escuela normal superior 136 estudiante, Tecnica de pasacaballo 123, para un total de 380 estudiantes ,cabe notar que estamos ala espera de la publicacion de la prueba saber por partes del ICFES Para saber el porcentaje de estudiantes en nivel B1.                                                                                                           2. Con el apoyo de aliados estratégicos como la la Fundacion para el desarrollo y la formacion integral del caribe, la institucion tecnologica colegio mayor de Bolivar y express languages institute se realizo el TALLER, “METODOLOGÍA Y ESTRATEGIAS PARA PROFESORES DE INGLÉS COMO LENGUA EXTRANJERA”, EXTRANJERA con el objetivo de  demostrar estrategias de enseñanza efectivas basadas en investigación educativa de actualidad, se beneficiando a  Docentes de ingles del  Distrito de Cartagena </t>
  </si>
  <si>
    <t xml:space="preserve">De la LB del 2015 que se registro 40 IEO; se culmino de manera exitosa para ese período; actualmente y de igual forma con apoyo de ALIADOS, se está trabajando las IEO de la Localidad No.3 - Todas más BARU todas las IEO de la Isla lo que suma 37 IEO al corte, o sea 2018.                                                             I.E. REPUBLICA DE ARGENTINA
I.E. JOSE MANUEL RODRIGUEZ TORICES
I.E. DE TERNERA
I.E. JOHN F KENNEDY
I.E. SOLEDAD ACOSTA DE SAMPER
I.E. LUIS CARLOS LOPEZ
I.E. SAN FRANCISCO DE ASIS
I.E. BERTHA GEDEON DE BALADI
I.E. PROMOCION SOCIAL DE C/GENA.
I.E. 20 DE JULIO
I.E. AMBIENTALISTA DE CARTAGENA
I.E. SALIM BECHARA
I.E. MANUELA VERGARA DE CURI
I.E. MERCEDES ABREGO
I.E. SAN LUCAS
I.E. MARIA CANO
I.E. FE Y ALEGRIA EL PROGRESO
I.E. JUAN JOSE NIETO
I.E. DE SANTA ANA
I.E. DE ARARCA
I.E. ISLAS DEL ROSARIO
I.E. LUIS FELIPE CABRERA DE BARU.
I.E. NUESTRA SEÑORA DEL BUEN AIRE
I.E. DE TIERRA BOMBA
I.E. TECNICA DE PASACABALLOS
I.E. JOSE MARIA CORDOBA DE PASACABALLOS.
I.E. DOMINGO BENKOS BIOHO 
</t>
  </si>
  <si>
    <t xml:space="preserve">1, Para la vigencia 2018, en alianza con REFICAR se dio inicio al  proyecto con la  intervencion psicosocial para  la Formación en Competencias Parentales para padres de familia con énfasis en la dimensión psicoactiva y crianza humanizada en tres IEO, Tecnica de Pasacaballos, Buen Aire y Jose Maria Cordoba.
              2,Se realizo  asistencia técnica a las IEO para realizar diagnostico de la situacion real de estas a fin de que las escuelas para padres responda a las necesidades particulares de estas.                                      3, a traves del Comite territorial de convivencia escolar se orientaron a las diferentes entidades para implementar el manejo con padres, entidades como el DADIS, ICBF entro otras. </t>
  </si>
  <si>
    <t xml:space="preserve">El resultado de oportunidad de respuesta para el último trimestre del año se mantiene en 16 días, lo que indica que hay que hacer un mayor esfuerzo en la respuesta en las diferentes áreas </t>
  </si>
  <si>
    <t>Meta ejecutada a diciembre de 2017.
Se realizaron auditorías de seguimiento por parte del ente certificador  Icontec asi: 
1.  Norma ISO 9001:2015 : Sistema de Gestión de la Secretaría de Educación Distrital
2. Especificaciones Técnicas del Ministerio de Educación Nacional: Procesos de: Cobertura, Calidad Educativa, Talento Humano y Atención al Ciudadano
Resultado: Concepto favorable para mantener la certificación.</t>
  </si>
  <si>
    <t xml:space="preserve">
A través de los diferentes talleres se divulgaron las plantillas de los procesos en  10  IEO focalizadas: Rafael Nuñez, Tierra Baja, Valores Unidos, La Libertad, María Cano, antonio Nariño, Fernando de la Vega, José de la Vega, Manuela Beltrán, pedro de Heredia,  ,  para asegurar  de ésta forma la implementación al interior de las mismas. </t>
  </si>
  <si>
    <t>Se acompañaron  las 8 IEO, que se encontraban certificadas en ISO 9001.  En la vigencia 2018 las IEO: Técnica de Pasacaballos, San Francisco de Asís, De la Boquilla y Madre Gabriela de San Martín, realizaron  la transición de la versión 9001:2008 a 9001:2015.
La IE Juan José Nieto, no realizó las actividades necesarias para presentar la auditoría de actualización de la norma, se continuará con el acompañamiento en la vigencia de 2019. 
Insituciones educativas con sistemas de gestión actualizado con la Norma ISO 9001:2015: 20 de Julio, Olga González Arraut, María Auxiliadora,  Técnica de Pasacaballos, San Francisco de Asís, De la Boquilla y Madre Gabriela de San Martín</t>
  </si>
  <si>
    <t xml:space="preserve">La Secretaría de Educación mantiene las estrategias de divulgación de la estrategia insitucional aprobada, para asegurar que los nuevos y los antiguos funcionarios/contratistas, conozcan,  apropien y la tengan presente siempre en cada una de las actividades de la SED.
</t>
  </si>
  <si>
    <t>Se capacitaron 16 funcionarias en Etiqueta y Protocolo en el Puesto de trabajo, en Cedesarrollo y 26 funcionarios en los deberes y derechos del servidor Publico llevado a cabo en el Hotel Corales de Indias.</t>
  </si>
  <si>
    <t xml:space="preserve">Se viene gestionando un modelo de articulación con la Universidades de la ciudad,  a la fecha tenemos la manifestación de Unicolombo; Tecnar y la UTB </t>
  </si>
  <si>
    <t>Se sostiene el reporte a sept 2018</t>
  </si>
  <si>
    <t>Ingresaron 28 beneficiarios de la vig 2017 y 30 de la vigencia 2018</t>
  </si>
  <si>
    <t>Durante la vigencia 2018 hubo los siguientes beneficiarios de los recutrsos del FEBIC:  42 por Ceres, 523 por convenios interadministrativos (ColMayor, Unad y UdeC),  y por las Becas Bicentenario 339 personas (172 Convoc 2018-1 y 167 Convoc 2018-2)</t>
  </si>
  <si>
    <t>No se ha expedido el CDP para adelantar el proceso contractual.</t>
  </si>
  <si>
    <r>
      <t xml:space="preserve">A corte 31 de diciembre de 2018, se registra la atención educativa a Jóvenes y Adultos de </t>
    </r>
    <r>
      <rPr>
        <b/>
        <sz val="14"/>
        <rFont val="Arial"/>
        <family val="2"/>
      </rPr>
      <t>943</t>
    </r>
    <r>
      <rPr>
        <sz val="14"/>
        <rFont val="Arial"/>
        <family val="2"/>
      </rPr>
      <t xml:space="preserve"> estudiantes en los ciclos I,II, III, IV, V y VI. De los cuales, un total de </t>
    </r>
    <r>
      <rPr>
        <b/>
        <sz val="14"/>
        <rFont val="Arial"/>
        <family val="2"/>
      </rPr>
      <t>50</t>
    </r>
    <r>
      <rPr>
        <sz val="14"/>
        <rFont val="Arial"/>
        <family val="2"/>
      </rPr>
      <t xml:space="preserve"> estudiantes corresponden a </t>
    </r>
    <r>
      <rPr>
        <b/>
        <sz val="14"/>
        <rFont val="Arial"/>
        <family val="2"/>
      </rPr>
      <t>(Ciclo CLEI I)</t>
    </r>
    <r>
      <rPr>
        <sz val="14"/>
        <rFont val="Arial"/>
        <family val="2"/>
      </rPr>
      <t>.</t>
    </r>
  </si>
  <si>
    <r>
      <t xml:space="preserve">A corte 31 de diciembre de 2.018, El Plan de infraestructura educativa, se firmó convenio con la Universidad de Cartagena, para la realización de la primera fase, es decir, el levantamiento del diagnostico y la alimentación del CIER. Cuya fase representa el </t>
    </r>
    <r>
      <rPr>
        <b/>
        <sz val="14"/>
        <rFont val="Arial"/>
        <family val="2"/>
      </rPr>
      <t xml:space="preserve">30% </t>
    </r>
    <r>
      <rPr>
        <sz val="14"/>
        <rFont val="Arial"/>
        <family val="2"/>
      </rPr>
      <t>del avance del Plan de Infraestructura Educativa.</t>
    </r>
  </si>
  <si>
    <r>
      <t xml:space="preserve">En el trimestre comprendido entre el 30 septiembre y 30 de Diciembre de 2.018, no se entregaron aulas nuevas. Los proyectos con el FFIE están en ejecución con un porcentaje de avance del </t>
    </r>
    <r>
      <rPr>
        <b/>
        <sz val="14"/>
        <rFont val="Arial"/>
        <family val="2"/>
      </rPr>
      <t>20%.</t>
    </r>
  </si>
  <si>
    <t>ASIGNACION ESPECIAL MEN</t>
  </si>
  <si>
    <t>02-028-06-20-01-01-01-18</t>
  </si>
  <si>
    <t>CONTRAPRESTACIONES PORTUARIAS</t>
  </si>
  <si>
    <t>02-001-06-20-01-01-01-12</t>
  </si>
  <si>
    <t>02-053-06-20-01-01-01-03</t>
  </si>
  <si>
    <t>SGP PROPOSITO GENERAL</t>
  </si>
  <si>
    <t>02-070-06-20-01-01-01-12</t>
  </si>
  <si>
    <t>02-071-06-20-01-01-01-02</t>
  </si>
  <si>
    <t>SGP - ALIMENTACION ESCOLAR</t>
  </si>
  <si>
    <t>02-072-06-20-01-01-01-18</t>
  </si>
  <si>
    <t>Rendimientos Financieros SGP Alimentacion Escolar</t>
  </si>
  <si>
    <t>02-078-06-95-01-01-01-12</t>
  </si>
  <si>
    <t>Rendimientos Financieros-S.G.P.-Educacion</t>
  </si>
  <si>
    <t>02-081-06-20-01-01-01-01
02-081-06-95-01-01-01-01</t>
  </si>
  <si>
    <t>Rendimientos Financieros Contraprestaciones portuarias</t>
  </si>
  <si>
    <t>02-108-06-20-01-01-01-04</t>
  </si>
  <si>
    <t>Transferencias FONPET - SGP Educacion</t>
  </si>
  <si>
    <t>02-117-06-95-01-01-01-01</t>
  </si>
  <si>
    <t>ASIGNACION ESPECIAL  Fonpet SGP - educacion</t>
  </si>
  <si>
    <t>02-118-06-95-01-01-01-02</t>
  </si>
  <si>
    <t>02-053-06-20-01-01-02-02</t>
  </si>
  <si>
    <t>Transferencia Fonpet SGP Edcuacion</t>
  </si>
  <si>
    <t>02-117-06-95-01-01-02-05</t>
  </si>
  <si>
    <t>02-071-06-20-01-01-02-04</t>
  </si>
  <si>
    <t>02-001-06-20-01-01-03-01
02-001-06-20-01-01-03-02
02-001-06-20-01-01-03-03</t>
  </si>
  <si>
    <t>Contraprestaciones Portuarias</t>
  </si>
  <si>
    <t>02-056-06-20-01-01-04-01</t>
  </si>
  <si>
    <r>
      <t xml:space="preserve">A corte 31 de diciembre de 2018, continuan las labores para construcción de 4 aulas de preescolar en Politécnico del Pozón, proceso que va en un avance del </t>
    </r>
    <r>
      <rPr>
        <b/>
        <sz val="14"/>
        <rFont val="Arial"/>
        <family val="2"/>
      </rPr>
      <t xml:space="preserve">20% </t>
    </r>
    <r>
      <rPr>
        <sz val="14"/>
        <rFont val="Arial"/>
        <family val="2"/>
      </rPr>
      <t>del total de la meta proyectada. El contrato se encuenta suspendido porque el FFIE debe autorizar las obras de adecuación del terreno</t>
    </r>
  </si>
  <si>
    <t xml:space="preserve"> Becas Bicentenario:Beneficiarios:
256  convocatoria 2016-2,  con una inversión; $ 3.326.846.101; 80, convocatoria 2017-1, con una inversión de $ 1.265.494.714;  130 convocatoria 2017-2, con una inversión $ 2.315.612.075; 187, convocatoria 2018-1, $ 3.444.079.358; y 197 convocatoria 2018-2, con una inversión de $   3.775.008.267; y 42 benficiarios  con becas CERES con una inversión de  $  378.272.112  , Estos 42 estudiante  beneficiado ingresaron al sistema de educacion superior mas los 858 del fondo bicentenario   para un total de 904 egresado en estudio superior </t>
  </si>
  <si>
    <t>AVANCE META PROYECTO</t>
  </si>
  <si>
    <t>AVANCE PROGRAMA</t>
  </si>
  <si>
    <t>AVANCE SUBPROGRAMA</t>
  </si>
  <si>
    <t>LAS I.E.O. CON ISCE MEDIA POR ENCIMA DEL NIVEL NACIONAL  ISCE NAL  QUE ES 5,94 SON:
1. INSTITUCION EDUCATIVA MERCEDES ABREGO  7,35168171
2. INSTITUCION EDUCATIVA PROMOCION SOCIAL DE C/GENA.  7,34470367
3. INSTITUCION EDUCATIVA LA MILAGROSA  7,17963028
4. INSTITUCION EDUCATIVA SOLEDAD ACOSTA DE SAMPER 7,64610863
5. INSTITUCION EDUCATIVA HERMANO ANTONIO RAMOS DE LA SALLE  7,67245817
6. INSTITUCION EDUCATIVA LAS GAVIOTAS  7,41675472
7. INSTITUCION EDUCATIVA CIUDAD DE TUNJA  7,27244091
8. INSTITUCION EDUCATIVA BERTHA GEDEON DE BALADI  7,5398922
9. COL. NTRA. SRA. DE FATIMA DE LA POL NAL  7,46870804
10. COL. NAVAL DE CRESPO  7,68003178
11. INSTITUCION EDUCATIVA MARIA AUXILIADORA  7,44398928</t>
  </si>
  <si>
    <t>Las Instituciones Educativas Oficiales que estan en los niveles de clasificacion A mas , A y B son las siguientes 23:
1. INSTITUCION EDUCATIVA SOLEDAD ACOSTA DE SAMPER	A+
2. COL. NAVAL DE CRESPO	A+
3. ESCUELAS PROFESIONALES SALESIANAS	A
4. INSTITUCION EDUCATIVA MARIA AUXILIADORA	A
5. INSTITUCION EDUCATIVA BERTHA GEDEON DE BALADI	A
6. COL. NTRA. SRA. DE FATIMA DE LA POL NAL	A
7. INSTITUCION EDUCATIVA HERMANO ANTONIO RAMOS DE LA SALLE	A
8. INSTITUCION EDUCATIVA PROMOCION SOCIAL DE C/GENA.	A
9. INSTITUCION EDUCATIVA LAS GAVIOTAS	A
10. INSTITUCION EDUCATIVA OLGA GONZALEZ ARRAUT	B
11. I.E. ROSEDAL	B
12. ESCUELA NORMAL SUPERIOR DE CARTAGENA DE INDIAS	B
13. INSTITUCION EDUCATIVA LA LIBERTAD	B
14. INSTITUCION EDUCATIVA CIUDAD DE TUNJA	B
15. INSTITUCION EDUCATIVA CAMILO TORRES DEL POZON	B
16. INSTITUCION EDUCATIVA SOLEDAD ROMAN DE NUÑEZ	B
17. COL. NTRA. SRA. DE LA CONSOLATA	B
18. INSTITUCION EDUCATIVA 20 DE JULIO	B
19. INSTITUCION EDUCATIVA MERCEDES ABREGO	B
20. INSTITUCION EDUCATIVA AMBIENTALISTA DE CARTAGENA	B
21. COL. SUEÑOS Y OPORTUNIDADES JESUS MAESTRO	B
22. INSTITUCION EDUCATIVA LUIS C GALAN SARMIENTO	B
23. INSTITUCION EDUCATIVA LA MILAGROSA	B</t>
  </si>
  <si>
    <t xml:space="preserve">EL NODO SOCIAL HUMANÍSTICO : Es un esfuerzo colectivo que realizan anualmente, LOS ESTUDIANTES DE LAS IEO, tienen el firme propósito de  visibilizar la escuela y hacer parte estructural del programa oficial de fiestas, donde niños, niñas y jóvenes, ejercen un rol protagonico por la construcción de tejido social desde la expresión musical, las danzas, coreografías,  escenografía  y  toda representación artística que fomentan  valores y contribuyen al  mejoramiento  de la calidad de la educación, propendiendo por una sociedad más solidaria  a través de la cultura.
1. Concurso Interescolar de danzas JGU  (JGU - ]ORGE GARCÍA USTA) y la Conmemoración del 11 de noviembre, (DESFILE ESTUDIANTIL  que evidencia las prácticas culturales, que  hacen un engranaje en el que se mezclan  las raíces negras, indias  y  blancas  de nuestro folklor con todo el legado cultural del resto del mundo que guardan similitud con nuestra región Caribe Colombiana. 
2. Fortalecimiento a Bandas de Paz - 26 IEO con bandas de paz que participan anualmente de la Conmemoración del 20 de julio o grito de la Independencia, más Encuentro Distrital de BP
3. Centros Orquestales - NODO MUSICAL IE LA BOQUILLA - APP más los otros centros orquestales como los asesorados a través de FM - programa: UY QUE NOTA - sin inversión de la SED solo APP </t>
  </si>
  <si>
    <t>PARTICIPARON 54 I.E.O.  EN: 1.    XIII FESTIVAL ESCOLAR   Y  2.    XIV DESFILE ESTUDIANTIL, ACTIVIDADES CONEXAS DEL NODO SOCIOHUMNISTICO
EN EL FORTALECIMIENTO DE LAS BANDAS DE PAZ, SE BENEFICIARON 26 I.E.O. ANEXAS EN SOPORTE ADJUNTO</t>
  </si>
  <si>
    <t>EJECUCION PRESUPUESTAL S.E.D SEGÚN PREDIS</t>
  </si>
  <si>
    <t>Arroyo de Piedra</t>
  </si>
  <si>
    <t>Ararca</t>
  </si>
  <si>
    <t>Bayunca</t>
  </si>
  <si>
    <t>Nuestra Señora del Buen Aire</t>
  </si>
  <si>
    <t>José María Córdoba de Pasacaballos</t>
  </si>
  <si>
    <t>San José Caño del Oro</t>
  </si>
  <si>
    <t>Pontezuela</t>
  </si>
  <si>
    <t>Manzanillo del Mar</t>
  </si>
  <si>
    <t>Santana</t>
  </si>
  <si>
    <t>Nueva Esperanza de Arroyo Grande</t>
  </si>
  <si>
    <t>María Cano</t>
  </si>
  <si>
    <t>Ambientalista de Cartagena</t>
  </si>
  <si>
    <t>Ternera</t>
  </si>
  <si>
    <t>República de Argentina</t>
  </si>
  <si>
    <t>Antonio Nariño</t>
  </si>
  <si>
    <t>José Manuel Rodríguez Torices</t>
  </si>
  <si>
    <t>Salim Bechara</t>
  </si>
  <si>
    <t>Mandela</t>
  </si>
  <si>
    <t>Bertha Gedeón de Baladí</t>
  </si>
  <si>
    <t>Madre Laura</t>
  </si>
  <si>
    <t>Seminario de Cartagena</t>
  </si>
  <si>
    <t>San Juan Damasco</t>
  </si>
  <si>
    <t>Nuevo Bosque</t>
  </si>
  <si>
    <t>Olga González Arraut</t>
  </si>
  <si>
    <t>Alberto Elías Fernández Baena</t>
  </si>
  <si>
    <t>Fernando de la Vega</t>
  </si>
  <si>
    <t>Manuela Beltrán</t>
  </si>
  <si>
    <t>Antonia Santos</t>
  </si>
  <si>
    <t>Santa María</t>
  </si>
  <si>
    <t>José de la Vega</t>
  </si>
  <si>
    <t>Corazón de María</t>
  </si>
  <si>
    <t>Pedro de Heredia</t>
  </si>
  <si>
    <t>Madre Gabriela de San Martín</t>
  </si>
  <si>
    <t>Fredonia</t>
  </si>
  <si>
    <t>Fulgencio Lequerica Vélez</t>
  </si>
  <si>
    <t>Nuestra Señora del Perpetuo Socorro</t>
  </si>
  <si>
    <t>La Libertad</t>
  </si>
  <si>
    <t>Hijos de María</t>
  </si>
  <si>
    <t>María Reina y Camilo Torre</t>
  </si>
  <si>
    <t>AVANCE PLAN DE ACCIÓN SECRETARÍA DE EDUCACIÓN A CORTE DIC 31 DE 2018</t>
  </si>
  <si>
    <t>(5B) REPORTE META RESULTADO EJECUTADA A DICIEMBRE 31 DE 2018</t>
  </si>
  <si>
    <t>AVANCE META RESULTADO A DIC 31 DE 2018</t>
  </si>
  <si>
    <t>AVANCE PLAN DE ACCIÓN SECRETARÍA DE EDUCACIÓN CORTE SEPTIEMBRE 30 DE 2018</t>
  </si>
  <si>
    <t>AVANCE META PRODUCTO ACUMULADO</t>
  </si>
  <si>
    <t>META PRODUCTO ACUMULADO AL AÑO</t>
  </si>
  <si>
    <t>AVANCE LINEA ESTRATÉGICA EDUCACION PARA LA GENTE DEL SIGLO XXI - DIC 2018</t>
  </si>
  <si>
    <r>
      <t xml:space="preserve">Se contrató la atención educativa a </t>
    </r>
    <r>
      <rPr>
        <b/>
        <sz val="12"/>
        <rFont val="Arial"/>
        <family val="2"/>
      </rPr>
      <t>1571</t>
    </r>
    <r>
      <rPr>
        <sz val="12"/>
        <rFont val="Arial"/>
        <family val="2"/>
      </rPr>
      <t xml:space="preserve"> estudiantes en la Implementación de Metodologias Flexibles.  De los cuales son 266 estudiantes  atendidos con docentes oficiales. </t>
    </r>
  </si>
  <si>
    <r>
      <t xml:space="preserve">Se contrató la atención educativa a </t>
    </r>
    <r>
      <rPr>
        <b/>
        <sz val="14"/>
        <rFont val="Arial"/>
        <family val="2"/>
      </rPr>
      <t>1571</t>
    </r>
    <r>
      <rPr>
        <sz val="14"/>
        <rFont val="Arial"/>
        <family val="2"/>
      </rPr>
      <t xml:space="preserve"> estudiantes en la Implementación de Metodologias Flexibles. De los cuales son 257 estudiantes  atendidos con docentes oficiales.    </t>
    </r>
  </si>
  <si>
    <t xml:space="preserve">En la vigencia 2018, el Plan de Formacion Docente se encuentra en proceso de contratación. En alianza con la Fundacion para el Desarrollo PROANTIOQUIA, se formalizó la propuesta de formacion y acompañamiento para maestros de 30  IEO focalizadas para trabajar en dos grandes lineas: 1. el desarrollo de competencias socio emocionales y comunicativas con los maestros, 2. la apropiacion de herramientas utiles para mejorar los ambientes de aula. Se benificiaran al finalizar el 2018 2400 docentes </t>
  </si>
  <si>
    <r>
      <t xml:space="preserve">Como resumen en el 2018 se realizó:  I. Asistencia Tecnica  para revisión ,ajuste  y actualizacion escolar y  II. Acompañamiento  Secretaria de Educacion a (treinta y un) Instituciones Educativas asi:  
</t>
    </r>
    <r>
      <rPr>
        <b/>
        <sz val="14"/>
        <rFont val="Arial"/>
        <family val="2"/>
      </rPr>
      <t>1.Acompañamiento a (tres) IEO certificadas ISO 9001:2008                                                                      2.Continuidad del acompañamiento situado a (doce) 12 Instituciones Educativas
Aliado 2018: Fundación Social – Promigas</t>
    </r>
    <r>
      <rPr>
        <sz val="14"/>
        <rFont val="Arial"/>
        <family val="2"/>
      </rPr>
      <t xml:space="preserve">                     
 </t>
    </r>
    <r>
      <rPr>
        <b/>
        <sz val="14"/>
        <rFont val="Arial"/>
        <family val="2"/>
      </rPr>
      <t xml:space="preserve">INSTITUCIONES EDUCATIVAS BENEFICIADAS: </t>
    </r>
    <r>
      <rPr>
        <sz val="14"/>
        <rFont val="Arial"/>
        <family val="2"/>
      </rPr>
      <t xml:space="preserve">Arroyo de Piedra, Técnica de Pasacaballo, La Boquilla, Bertha Gedeón de Baladí, San Lucas, Salim Bechara, Jhon F Kennedy, Luis Carlos López, María Cano, José Manuel Rodríguez Torices, 20 de Julio, San Francisco de Asís, Rafael Núñez, CASD Manuela Beltrán, María Auxiliadora, Nuevo Bosque, Fernando de la Vega, Alberto Elías Fernández Baena, Olga González Arraut, Ana María Vélez de Trujillo, Liceo de Bolívar, Hermano Antonio Ramos de la Salle, Fundación Pies Descalzos, Antonia Santos, Corazón de María, María Reina, Villa Estrella, Fredonia, República del Líbano, Madre Gabriela de San Martín y Nuestra Señora del Carmen. </t>
    </r>
  </si>
  <si>
    <r>
      <t>A través de la alianza SED-Fundación Nutresa se esta implementado la ruta del Proyecto Educativo Líderes SXXI para el fortalecimiento de la gestión escolar y el desarrollo de capacidades de liderazgo de los equipos de gestión, en</t>
    </r>
    <r>
      <rPr>
        <b/>
        <sz val="14"/>
        <rFont val="Arial"/>
        <family val="2"/>
      </rPr>
      <t xml:space="preserve"> 25 IEO: I</t>
    </r>
    <r>
      <rPr>
        <sz val="14"/>
        <rFont val="Arial"/>
        <family val="2"/>
      </rPr>
      <t>E Nuevo Bosque, IE Pedro de Heredia, IE Pontezuela, IE Antonia Santos, IE Antonio Nariño, IE INEM, IE María Cano, IE María Reina, IE Olga González, IE San Juan de Damasco, IE Nueva Esperanza de Arroyo Grande, IE Francisco de Paula Santander, IE Manzanillo del Mar, IE Santa María, IE Mandela, IE Bertha Gedeón,  IE Fernandez Baena, IE Jose de la Vega, IE Fernando de la Vega, IE Caño del Oro, IE Santa Ana, IE Ararca, IE Rafael Nuñez, IE Juan Jose NIeto e IE Soledad Roman de Nuñez.</t>
    </r>
  </si>
  <si>
    <t xml:space="preserve">Recopilación, organización y análisis de las herramientas de Gestión escolar de las 105 IEO del Distrito.  Diseño de la Asistencia Técnica de la SED Revisión, Ajuste y Actualización de las Herramientas de Gestión Escolar (Autoevaluación, PMI y PEI). Para el tercer trimestre se están acompañando: IE Las Gaviotas, IE Fulgencio Lequerica Velez, IE Nuestra Señora del Carmen, IE Soledad Roman de Nuñez, IE Juan Jose Nieto, IE Promoción Social, IE Luis Carlos Galan, IE John F. Kennedy e IE Camilo Torres. Así mismo, se están acompañando 23 IEO con la Alianza SED-MEN PTA-Fundación Nutresa: IE Pedro de Heredia, IE Antonio Santos, IE Antonio Nariño, IE INEM, IE Maria Cano, IE Olga González, IE San Juan Damasco, IE Manuela Beltran, IE Manzanillo, IE Santa María, IE Mandela, IE Bertha Gedeon, IE Fernandez Baena, IE Jose de la Vega, IE Fernando de la Vega, IE Caño del Oro, IE Santa Ana, IE Ararca, IE Rafael Nuñez, IE Nuevo Bosque, IE Pontezuela, IE María Reina, IE Nueva Esperanza de Arroyo Grande.Estamos a la espera de la publicación  de los resultados de pruebas SABER 11 para cruzar información. </t>
  </si>
  <si>
    <r>
      <t xml:space="preserve">Se realizó : 1.. Recopilación, organización y análisis de las herramientas de Gestión escolar de las 105 IEO del Distrito. 2. Diseño de la Asistencia Técnica de la SED Revisión, Ajuste y Actualización de las Herramientas de Gestión Escolar (Autoevaluación, PMI y PEI). Para el  cuarto trimestre se acompañaron las siguientes </t>
    </r>
    <r>
      <rPr>
        <b/>
        <sz val="14"/>
        <rFont val="Arial"/>
        <family val="2"/>
      </rPr>
      <t>39 I.E.O.</t>
    </r>
    <r>
      <rPr>
        <sz val="14"/>
        <rFont val="Arial"/>
        <family val="2"/>
      </rPr>
      <t xml:space="preserve">:  Arroyo de Piedra,  Ararca, Bayunca, Nuestra Señora del Buen Aire, José María Córdoba de Pasacaballos, San José Caño del Oro, Pontezuela, Manzanillo del Mar, Santana, Nueva Esperanza de Arroyo Grande,  María Cano, Ambientalista de Cartagena, Ternera, República de Argentina, Antonio Nariño, José Manuel Rodríguez Torices, Salim Bechara, Mandela,  Bertha Gedeón de Baladí, Madre Laura, Seminario de Cartagena, San Juan Damasco, Nuevo Bosque, Olga González Arraut, Alberto Elías Fernández Baena, Fernando de la Vega, Manuela Beltrán, Antonia Santos, Santa María, José de la Vega, Corazón de María, Pedro de Heredia, Madre Gabriela de San Martín, Fredonia, Fulgencio Lequerica Vélez, Nuestra Señora del Perpetuo Socorro, La Libertad, Hijos de María, María Reina y Camilo Torre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</si>
</sst>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44" formatCode="_-&quot;$&quot;* #,##0.00_-;\-&quot;$&quot;* #,##0.00_-;_-&quot;$&quot;* &quot;-&quot;??_-;_-@_-"/>
    <numFmt numFmtId="43" formatCode="_-* #,##0.00_-;\-* #,##0.00_-;_-* &quot;-&quot;??_-;_-@_-"/>
    <numFmt numFmtId="164" formatCode="&quot;$&quot;\ #,##0"/>
    <numFmt numFmtId="165" formatCode="&quot;$&quot;#,##0.00"/>
    <numFmt numFmtId="166" formatCode="0.0"/>
    <numFmt numFmtId="167" formatCode="0.0%"/>
    <numFmt numFmtId="168" formatCode="&quot;$&quot;#,##0"/>
  </numFmts>
  <fonts count="30" x14ac:knownFonts="1">
    <font>
      <sz val="11"/>
      <color theme="1"/>
      <name val="Calibri"/>
      <family val="2"/>
      <scheme val="minor"/>
    </font>
    <font>
      <sz val="11"/>
      <color theme="1"/>
      <name val="Calibri"/>
      <family val="2"/>
      <scheme val="minor"/>
    </font>
    <font>
      <b/>
      <sz val="12"/>
      <name val="Arial"/>
      <family val="2"/>
    </font>
    <font>
      <b/>
      <sz val="12"/>
      <color theme="1"/>
      <name val="Arial"/>
      <family val="2"/>
    </font>
    <font>
      <sz val="12"/>
      <color theme="1"/>
      <name val="Arial"/>
      <family val="2"/>
    </font>
    <font>
      <sz val="12"/>
      <name val="Arial"/>
      <family val="2"/>
    </font>
    <font>
      <b/>
      <sz val="14"/>
      <name val="Arial"/>
      <family val="2"/>
    </font>
    <font>
      <b/>
      <sz val="36"/>
      <color theme="1"/>
      <name val="Arial"/>
      <family val="2"/>
    </font>
    <font>
      <b/>
      <sz val="20"/>
      <color theme="1"/>
      <name val="Arial"/>
      <family val="2"/>
    </font>
    <font>
      <b/>
      <sz val="11"/>
      <name val="Arial"/>
      <family val="2"/>
    </font>
    <font>
      <b/>
      <sz val="10"/>
      <name val="Arial"/>
      <family val="2"/>
    </font>
    <font>
      <b/>
      <sz val="9"/>
      <name val="Arial"/>
      <family val="2"/>
    </font>
    <font>
      <b/>
      <sz val="10"/>
      <name val="Tahoma"/>
      <family val="2"/>
    </font>
    <font>
      <sz val="12"/>
      <color rgb="FFFF0000"/>
      <name val="Arial"/>
      <family val="2"/>
    </font>
    <font>
      <u/>
      <sz val="11"/>
      <color theme="10"/>
      <name val="Calibri"/>
      <family val="2"/>
      <scheme val="minor"/>
    </font>
    <font>
      <sz val="20"/>
      <color rgb="FFFF0000"/>
      <name val="Arial"/>
      <family val="2"/>
    </font>
    <font>
      <sz val="12"/>
      <name val="Calibri"/>
      <family val="2"/>
      <scheme val="minor"/>
    </font>
    <font>
      <sz val="8"/>
      <name val="Tahoma"/>
      <family val="2"/>
    </font>
    <font>
      <u/>
      <sz val="12"/>
      <name val="Calibri"/>
      <family val="2"/>
      <scheme val="minor"/>
    </font>
    <font>
      <sz val="14"/>
      <color theme="1"/>
      <name val="Arial"/>
      <family val="2"/>
    </font>
    <font>
      <sz val="14"/>
      <name val="Arial"/>
      <family val="2"/>
    </font>
    <font>
      <sz val="14"/>
      <name val="Calibri"/>
      <family val="2"/>
      <scheme val="minor"/>
    </font>
    <font>
      <b/>
      <sz val="18"/>
      <name val="Arial"/>
      <family val="2"/>
    </font>
    <font>
      <sz val="20"/>
      <color theme="1"/>
      <name val="Arial"/>
      <family val="2"/>
    </font>
    <font>
      <b/>
      <sz val="20"/>
      <name val="Arial"/>
      <family val="2"/>
    </font>
    <font>
      <b/>
      <sz val="16"/>
      <name val="Arial"/>
      <family val="2"/>
    </font>
    <font>
      <b/>
      <sz val="24"/>
      <name val="Arial"/>
      <family val="2"/>
    </font>
    <font>
      <b/>
      <sz val="22"/>
      <name val="Arial"/>
      <family val="2"/>
    </font>
    <font>
      <b/>
      <sz val="12"/>
      <name val="Calibri"/>
      <family val="2"/>
      <scheme val="minor"/>
    </font>
    <font>
      <sz val="20"/>
      <name val="Arial"/>
      <family val="2"/>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rgb="FF000000"/>
      </right>
      <top style="thin">
        <color rgb="FF000000"/>
      </top>
      <bottom style="thin">
        <color rgb="FF000000"/>
      </bottom>
      <diagonal/>
    </border>
    <border>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cellStyleXfs>
  <cellXfs count="345">
    <xf numFmtId="0" fontId="0" fillId="0" borderId="0" xfId="0"/>
    <xf numFmtId="0" fontId="2" fillId="0" borderId="2" xfId="0" applyFont="1" applyFill="1" applyBorder="1" applyAlignment="1">
      <alignment horizontal="center" vertical="center"/>
    </xf>
    <xf numFmtId="0" fontId="3" fillId="0" borderId="0" xfId="0" applyFont="1" applyAlignment="1">
      <alignment horizontal="center" vertical="center"/>
    </xf>
    <xf numFmtId="0" fontId="2" fillId="0" borderId="2"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5" fillId="0" borderId="2" xfId="0" applyFont="1" applyFill="1" applyBorder="1" applyAlignment="1">
      <alignment horizontal="justify" vertical="center" wrapText="1" readingOrder="1"/>
    </xf>
    <xf numFmtId="0" fontId="4" fillId="0" borderId="0" xfId="0" applyFont="1"/>
    <xf numFmtId="0" fontId="4" fillId="0" borderId="0" xfId="0" applyFont="1" applyBorder="1"/>
    <xf numFmtId="0" fontId="2" fillId="0" borderId="0" xfId="0" applyFont="1" applyFill="1" applyBorder="1"/>
    <xf numFmtId="0" fontId="2"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xf numFmtId="10" fontId="4" fillId="0" borderId="0" xfId="2" applyNumberFormat="1" applyFont="1"/>
    <xf numFmtId="0" fontId="6"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4" fontId="2" fillId="0" borderId="6" xfId="1" applyNumberFormat="1" applyFont="1" applyFill="1" applyBorder="1" applyAlignment="1">
      <alignment horizontal="center" vertical="center"/>
    </xf>
    <xf numFmtId="1" fontId="2" fillId="0" borderId="6" xfId="1" applyNumberFormat="1" applyFont="1" applyFill="1" applyBorder="1" applyAlignment="1">
      <alignment horizontal="center" vertical="center"/>
    </xf>
    <xf numFmtId="3" fontId="2" fillId="0" borderId="6" xfId="1"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0" xfId="0" applyFont="1" applyBorder="1" applyAlignment="1">
      <alignment horizontal="center" vertical="center"/>
    </xf>
    <xf numFmtId="0" fontId="5" fillId="0" borderId="2" xfId="0" applyFont="1" applyFill="1" applyBorder="1" applyAlignment="1">
      <alignment horizontal="center" vertical="center" wrapText="1" readingOrder="1"/>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3" fontId="5" fillId="0" borderId="2" xfId="1" applyNumberFormat="1" applyFont="1" applyFill="1" applyBorder="1" applyAlignment="1">
      <alignment horizontal="center" vertical="center"/>
    </xf>
    <xf numFmtId="4" fontId="5" fillId="0" borderId="2" xfId="1" applyNumberFormat="1" applyFont="1" applyFill="1" applyBorder="1" applyAlignment="1">
      <alignment horizontal="center" vertical="center"/>
    </xf>
    <xf numFmtId="1" fontId="5" fillId="0" borderId="2" xfId="1" applyNumberFormat="1" applyFont="1" applyFill="1" applyBorder="1" applyAlignment="1">
      <alignment horizontal="center" vertical="center"/>
    </xf>
    <xf numFmtId="0" fontId="5" fillId="0" borderId="9" xfId="0" applyFont="1" applyFill="1" applyBorder="1" applyAlignment="1">
      <alignment horizontal="center" vertical="center" wrapText="1" readingOrder="1"/>
    </xf>
    <xf numFmtId="0" fontId="4" fillId="0" borderId="0" xfId="0" applyFont="1" applyFill="1" applyBorder="1"/>
    <xf numFmtId="0" fontId="4" fillId="0" borderId="0" xfId="0" applyFont="1" applyFill="1" applyBorder="1" applyAlignment="1">
      <alignment vertical="center"/>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left" vertical="center" wrapText="1" readingOrder="1"/>
    </xf>
    <xf numFmtId="0" fontId="5" fillId="0" borderId="2" xfId="0" applyFont="1" applyFill="1" applyBorder="1" applyAlignment="1">
      <alignment vertical="center" wrapText="1" readingOrder="1"/>
    </xf>
    <xf numFmtId="0" fontId="5" fillId="0" borderId="2" xfId="0" applyFont="1" applyFill="1" applyBorder="1" applyAlignment="1">
      <alignment vertical="center" wrapText="1"/>
    </xf>
    <xf numFmtId="164" fontId="10" fillId="0" borderId="2" xfId="0" applyNumberFormat="1" applyFont="1" applyFill="1" applyBorder="1" applyAlignment="1">
      <alignment horizontal="right" vertical="center"/>
    </xf>
    <xf numFmtId="164" fontId="10" fillId="0" borderId="2" xfId="0" applyNumberFormat="1" applyFont="1" applyFill="1" applyBorder="1" applyAlignment="1">
      <alignment horizontal="center" vertical="center"/>
    </xf>
    <xf numFmtId="1" fontId="5" fillId="0" borderId="2" xfId="0" applyNumberFormat="1" applyFont="1" applyFill="1" applyBorder="1" applyAlignment="1">
      <alignment horizontal="center" vertical="center" wrapText="1" readingOrder="1"/>
    </xf>
    <xf numFmtId="0" fontId="5" fillId="0" borderId="2" xfId="0" applyNumberFormat="1" applyFont="1" applyFill="1" applyBorder="1" applyAlignment="1">
      <alignment horizontal="center" vertical="center" wrapText="1" readingOrder="1"/>
    </xf>
    <xf numFmtId="165" fontId="10" fillId="0" borderId="0" xfId="0" applyNumberFormat="1" applyFont="1" applyFill="1" applyAlignment="1">
      <alignment vertical="center"/>
    </xf>
    <xf numFmtId="164" fontId="12" fillId="0" borderId="2" xfId="0" applyNumberFormat="1" applyFont="1" applyFill="1" applyBorder="1" applyAlignment="1">
      <alignment horizontal="right" vertical="center"/>
    </xf>
    <xf numFmtId="3" fontId="2" fillId="0" borderId="2" xfId="0" applyNumberFormat="1" applyFont="1" applyFill="1" applyBorder="1" applyAlignment="1">
      <alignment horizontal="center" vertical="center"/>
    </xf>
    <xf numFmtId="3" fontId="2" fillId="0" borderId="2"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0" xfId="0" applyFont="1" applyBorder="1"/>
    <xf numFmtId="0" fontId="13" fillId="0" borderId="0" xfId="0" applyFont="1"/>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164" fontId="17" fillId="0" borderId="2" xfId="0" applyNumberFormat="1" applyFont="1" applyFill="1" applyBorder="1" applyAlignment="1">
      <alignment horizontal="right" vertical="center"/>
    </xf>
    <xf numFmtId="0" fontId="19" fillId="0" borderId="0" xfId="0" applyFont="1" applyBorder="1" applyAlignment="1">
      <alignment vertical="center"/>
    </xf>
    <xf numFmtId="0" fontId="13" fillId="0" borderId="0" xfId="0" applyFont="1" applyBorder="1" applyAlignment="1">
      <alignment vertical="center"/>
    </xf>
    <xf numFmtId="0" fontId="13" fillId="0" borderId="0" xfId="0" applyFont="1" applyAlignment="1">
      <alignment horizontal="center" vertical="center"/>
    </xf>
    <xf numFmtId="0" fontId="13" fillId="0" borderId="0" xfId="0" applyFont="1" applyBorder="1" applyAlignment="1">
      <alignment horizontal="center" vertical="center"/>
    </xf>
    <xf numFmtId="44" fontId="4" fillId="0" borderId="0" xfId="3" applyFont="1" applyBorder="1"/>
    <xf numFmtId="0" fontId="3" fillId="0" borderId="0" xfId="0" applyFont="1" applyFill="1" applyBorder="1"/>
    <xf numFmtId="0" fontId="3" fillId="0" borderId="0" xfId="0" applyFont="1" applyFill="1"/>
    <xf numFmtId="10" fontId="3" fillId="0" borderId="0" xfId="2" applyNumberFormat="1" applyFont="1" applyFill="1"/>
    <xf numFmtId="0" fontId="6" fillId="0" borderId="4" xfId="0" applyFont="1" applyFill="1" applyBorder="1" applyAlignment="1">
      <alignment horizontal="center" vertical="center"/>
    </xf>
    <xf numFmtId="0" fontId="22" fillId="0" borderId="4" xfId="0" applyFont="1" applyFill="1" applyBorder="1" applyAlignment="1">
      <alignment horizontal="center" vertical="center"/>
    </xf>
    <xf numFmtId="0" fontId="23" fillId="0" borderId="0" xfId="0" applyFont="1" applyBorder="1"/>
    <xf numFmtId="10" fontId="23" fillId="0" borderId="0" xfId="2" applyNumberFormat="1" applyFont="1"/>
    <xf numFmtId="10" fontId="15" fillId="0" borderId="0" xfId="2" applyNumberFormat="1" applyFont="1"/>
    <xf numFmtId="10" fontId="15" fillId="0" borderId="0" xfId="2" applyNumberFormat="1" applyFont="1" applyBorder="1"/>
    <xf numFmtId="0" fontId="6" fillId="0" borderId="2" xfId="0" applyFont="1" applyFill="1" applyBorder="1" applyAlignment="1">
      <alignment horizontal="center" vertical="center"/>
    </xf>
    <xf numFmtId="0" fontId="0" fillId="0" borderId="2" xfId="0" applyBorder="1" applyAlignment="1">
      <alignment horizontal="center"/>
    </xf>
    <xf numFmtId="0" fontId="0" fillId="0" borderId="2" xfId="0" applyBorder="1"/>
    <xf numFmtId="0" fontId="13" fillId="0" borderId="0" xfId="0" applyFont="1" applyFill="1" applyBorder="1"/>
    <xf numFmtId="0" fontId="13" fillId="0" borderId="0" xfId="0" applyFont="1" applyFill="1"/>
    <xf numFmtId="0" fontId="8" fillId="0" borderId="0" xfId="0" applyFont="1" applyBorder="1"/>
    <xf numFmtId="0" fontId="8" fillId="0" borderId="0" xfId="0" applyFont="1"/>
    <xf numFmtId="10" fontId="4" fillId="0" borderId="0" xfId="2" applyNumberFormat="1" applyFont="1" applyFill="1"/>
    <xf numFmtId="10" fontId="2"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10" fontId="2" fillId="0" borderId="4" xfId="2" applyNumberFormat="1" applyFont="1" applyFill="1" applyBorder="1" applyAlignment="1">
      <alignment horizontal="center" vertical="center"/>
    </xf>
    <xf numFmtId="10" fontId="5" fillId="0" borderId="7" xfId="2" applyNumberFormat="1" applyFont="1" applyFill="1" applyBorder="1" applyAlignment="1">
      <alignment horizontal="center" vertical="center" wrapText="1" readingOrder="1"/>
    </xf>
    <xf numFmtId="10" fontId="5" fillId="0" borderId="4" xfId="2" applyNumberFormat="1" applyFont="1" applyFill="1" applyBorder="1" applyAlignment="1">
      <alignment horizontal="center" vertical="center" wrapText="1" readingOrder="1"/>
    </xf>
    <xf numFmtId="10" fontId="5" fillId="0" borderId="7"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0" fontId="2" fillId="0" borderId="7" xfId="2" applyNumberFormat="1" applyFont="1" applyFill="1" applyBorder="1" applyAlignment="1">
      <alignment horizontal="center" vertical="center"/>
    </xf>
    <xf numFmtId="10" fontId="2" fillId="0" borderId="4" xfId="2"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2" xfId="0" applyFont="1" applyFill="1" applyBorder="1" applyAlignment="1">
      <alignment horizontal="center" vertical="center"/>
    </xf>
    <xf numFmtId="0" fontId="10" fillId="0" borderId="8" xfId="0" applyFont="1" applyFill="1" applyBorder="1" applyAlignment="1">
      <alignment vertical="center" wrapText="1" readingOrder="1"/>
    </xf>
    <xf numFmtId="0" fontId="10" fillId="0" borderId="4" xfId="0" applyFont="1" applyFill="1" applyBorder="1" applyAlignment="1">
      <alignment vertical="center" wrapText="1" readingOrder="1"/>
    </xf>
    <xf numFmtId="164" fontId="11" fillId="0" borderId="7" xfId="0" applyNumberFormat="1" applyFont="1" applyFill="1" applyBorder="1" applyAlignment="1">
      <alignment horizontal="center" vertical="center"/>
    </xf>
    <xf numFmtId="164" fontId="11" fillId="0" borderId="8" xfId="0" applyNumberFormat="1" applyFont="1" applyFill="1" applyBorder="1" applyAlignment="1">
      <alignment horizontal="center" vertical="center"/>
    </xf>
    <xf numFmtId="164" fontId="11" fillId="0" borderId="4" xfId="0" applyNumberFormat="1" applyFont="1" applyFill="1" applyBorder="1" applyAlignment="1">
      <alignment horizontal="center" vertical="center"/>
    </xf>
    <xf numFmtId="0" fontId="5" fillId="0" borderId="15" xfId="0" applyFont="1" applyFill="1" applyBorder="1" applyAlignment="1">
      <alignment horizontal="center"/>
    </xf>
    <xf numFmtId="0" fontId="5" fillId="0" borderId="21" xfId="0" applyFont="1" applyFill="1" applyBorder="1" applyAlignment="1">
      <alignment horizontal="center"/>
    </xf>
    <xf numFmtId="0" fontId="5" fillId="0" borderId="12" xfId="0" applyFont="1" applyFill="1" applyBorder="1" applyAlignment="1">
      <alignment horizontal="center"/>
    </xf>
    <xf numFmtId="0" fontId="5" fillId="0" borderId="11" xfId="0" applyFont="1" applyFill="1" applyBorder="1" applyAlignment="1">
      <alignment horizontal="center"/>
    </xf>
    <xf numFmtId="0" fontId="5" fillId="0" borderId="0" xfId="0" applyFont="1" applyFill="1" applyBorder="1" applyAlignment="1">
      <alignment horizontal="center"/>
    </xf>
    <xf numFmtId="0" fontId="5" fillId="0" borderId="16" xfId="0" applyFont="1" applyFill="1" applyBorder="1" applyAlignment="1">
      <alignment horizontal="center"/>
    </xf>
    <xf numFmtId="0" fontId="5" fillId="0" borderId="17" xfId="0" applyFont="1" applyFill="1" applyBorder="1" applyAlignment="1">
      <alignment horizontal="center"/>
    </xf>
    <xf numFmtId="0" fontId="5" fillId="0" borderId="23" xfId="0" applyFont="1" applyFill="1" applyBorder="1" applyAlignment="1">
      <alignment horizontal="center"/>
    </xf>
    <xf numFmtId="0" fontId="5" fillId="0" borderId="5" xfId="0" applyFont="1" applyFill="1" applyBorder="1" applyAlignment="1">
      <alignment horizontal="center"/>
    </xf>
    <xf numFmtId="9" fontId="5" fillId="0" borderId="7" xfId="0" applyNumberFormat="1" applyFont="1" applyFill="1" applyBorder="1" applyAlignment="1">
      <alignment horizontal="center" vertical="center" wrapText="1" readingOrder="1"/>
    </xf>
    <xf numFmtId="9" fontId="5" fillId="0" borderId="8" xfId="0" applyNumberFormat="1" applyFont="1" applyFill="1" applyBorder="1" applyAlignment="1">
      <alignment horizontal="center" vertical="center" wrapText="1" readingOrder="1"/>
    </xf>
    <xf numFmtId="9" fontId="5" fillId="0" borderId="4" xfId="0" applyNumberFormat="1" applyFont="1" applyFill="1" applyBorder="1" applyAlignment="1">
      <alignment horizontal="center" vertical="center" wrapText="1" readingOrder="1"/>
    </xf>
    <xf numFmtId="0" fontId="5" fillId="0" borderId="7" xfId="0" applyFont="1" applyFill="1" applyBorder="1" applyAlignment="1">
      <alignment horizontal="left" vertical="center" wrapText="1" readingOrder="1"/>
    </xf>
    <xf numFmtId="0" fontId="5" fillId="0" borderId="4" xfId="0" applyFont="1" applyFill="1" applyBorder="1" applyAlignment="1">
      <alignment horizontal="left" vertical="center" wrapText="1" readingOrder="1"/>
    </xf>
    <xf numFmtId="0" fontId="5" fillId="0" borderId="8" xfId="0" applyFont="1" applyFill="1" applyBorder="1" applyAlignment="1">
      <alignment horizontal="left" vertical="center" wrapText="1" readingOrder="1"/>
    </xf>
    <xf numFmtId="10" fontId="2" fillId="0" borderId="7"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8"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0" fontId="5" fillId="0" borderId="7" xfId="0" applyNumberFormat="1" applyFont="1" applyFill="1" applyBorder="1" applyAlignment="1">
      <alignment horizontal="center" vertical="center" wrapText="1" readingOrder="1"/>
    </xf>
    <xf numFmtId="10" fontId="5" fillId="0" borderId="8" xfId="0" applyNumberFormat="1" applyFont="1" applyFill="1" applyBorder="1" applyAlignment="1">
      <alignment horizontal="center" vertical="center" wrapText="1" readingOrder="1"/>
    </xf>
    <xf numFmtId="10" fontId="5" fillId="0" borderId="4" xfId="0" applyNumberFormat="1" applyFont="1" applyFill="1" applyBorder="1" applyAlignment="1">
      <alignment horizontal="center" vertical="center" wrapText="1" readingOrder="1"/>
    </xf>
    <xf numFmtId="10" fontId="24" fillId="0" borderId="7" xfId="0" applyNumberFormat="1" applyFont="1" applyFill="1" applyBorder="1" applyAlignment="1">
      <alignment horizontal="center" vertical="center" wrapText="1" readingOrder="1"/>
    </xf>
    <xf numFmtId="10" fontId="24" fillId="0" borderId="4" xfId="0" applyNumberFormat="1" applyFont="1" applyFill="1" applyBorder="1" applyAlignment="1">
      <alignment horizontal="center" vertical="center" wrapText="1" readingOrder="1"/>
    </xf>
    <xf numFmtId="10" fontId="24" fillId="0" borderId="7" xfId="2" applyNumberFormat="1" applyFont="1" applyFill="1" applyBorder="1" applyAlignment="1">
      <alignment horizontal="center" vertical="center" wrapText="1" readingOrder="1"/>
    </xf>
    <xf numFmtId="10" fontId="24" fillId="0" borderId="8" xfId="2" applyNumberFormat="1" applyFont="1" applyFill="1" applyBorder="1" applyAlignment="1">
      <alignment horizontal="center" vertical="center" wrapText="1" readingOrder="1"/>
    </xf>
    <xf numFmtId="10" fontId="24" fillId="0" borderId="4" xfId="2" applyNumberFormat="1" applyFont="1" applyFill="1" applyBorder="1" applyAlignment="1">
      <alignment horizontal="center" vertical="center" wrapText="1" readingOrder="1"/>
    </xf>
    <xf numFmtId="0" fontId="5" fillId="0" borderId="7" xfId="0" applyFont="1" applyFill="1" applyBorder="1" applyAlignment="1">
      <alignment vertical="center" wrapText="1" readingOrder="1"/>
    </xf>
    <xf numFmtId="0" fontId="5" fillId="0" borderId="8" xfId="0" applyFont="1" applyFill="1" applyBorder="1" applyAlignment="1">
      <alignment vertical="center" wrapText="1" readingOrder="1"/>
    </xf>
    <xf numFmtId="0" fontId="5" fillId="0" borderId="4" xfId="0" applyFont="1" applyFill="1" applyBorder="1" applyAlignment="1">
      <alignment vertical="center" wrapText="1" readingOrder="1"/>
    </xf>
    <xf numFmtId="0" fontId="5" fillId="0" borderId="1" xfId="0" applyFont="1" applyFill="1" applyBorder="1" applyAlignment="1">
      <alignment horizontal="left" vertical="center" wrapText="1" readingOrder="1"/>
    </xf>
    <xf numFmtId="0" fontId="5" fillId="0" borderId="1" xfId="0" applyFont="1" applyFill="1" applyBorder="1" applyAlignment="1">
      <alignment horizontal="center" vertical="center" wrapText="1" readingOrder="1"/>
    </xf>
    <xf numFmtId="0" fontId="5" fillId="0" borderId="4" xfId="0" applyFont="1" applyFill="1" applyBorder="1" applyAlignment="1">
      <alignment horizontal="center" vertical="center" wrapText="1" readingOrder="1"/>
    </xf>
    <xf numFmtId="0" fontId="5" fillId="0" borderId="7" xfId="0" applyFont="1" applyFill="1" applyBorder="1" applyAlignment="1">
      <alignment horizontal="center" vertical="center" wrapText="1" readingOrder="1"/>
    </xf>
    <xf numFmtId="167" fontId="2" fillId="0" borderId="7" xfId="2" applyNumberFormat="1" applyFont="1" applyFill="1" applyBorder="1" applyAlignment="1">
      <alignment horizontal="center" vertical="center"/>
    </xf>
    <xf numFmtId="167" fontId="2" fillId="0" borderId="4" xfId="2" applyNumberFormat="1" applyFont="1" applyFill="1" applyBorder="1" applyAlignment="1">
      <alignment horizontal="center" vertical="center"/>
    </xf>
    <xf numFmtId="10" fontId="24" fillId="0" borderId="1" xfId="0" applyNumberFormat="1" applyFont="1" applyFill="1" applyBorder="1" applyAlignment="1">
      <alignment horizontal="center" vertical="center" wrapText="1" readingOrder="1"/>
    </xf>
    <xf numFmtId="0" fontId="5" fillId="0" borderId="8" xfId="0" applyFont="1" applyFill="1" applyBorder="1" applyAlignment="1">
      <alignment horizontal="center" vertical="center" wrapText="1" readingOrder="1"/>
    </xf>
    <xf numFmtId="0" fontId="7" fillId="0" borderId="0" xfId="0" applyFont="1" applyAlignment="1">
      <alignment horizontal="center"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10" fontId="20" fillId="0" borderId="7" xfId="2" applyNumberFormat="1" applyFont="1" applyFill="1" applyBorder="1" applyAlignment="1">
      <alignment horizontal="center" vertical="center" wrapText="1" readingOrder="1"/>
    </xf>
    <xf numFmtId="10" fontId="20" fillId="0" borderId="8" xfId="2" applyNumberFormat="1" applyFont="1" applyFill="1" applyBorder="1" applyAlignment="1">
      <alignment horizontal="center" vertical="center" wrapText="1" readingOrder="1"/>
    </xf>
    <xf numFmtId="10" fontId="20" fillId="0" borderId="4" xfId="2" applyNumberFormat="1" applyFont="1" applyFill="1" applyBorder="1" applyAlignment="1">
      <alignment horizontal="center" vertical="center" wrapText="1" readingOrder="1"/>
    </xf>
    <xf numFmtId="0" fontId="5" fillId="0" borderId="7" xfId="0" applyFont="1" applyFill="1" applyBorder="1" applyAlignment="1">
      <alignment vertical="center" wrapText="1"/>
    </xf>
    <xf numFmtId="0" fontId="5" fillId="0" borderId="4" xfId="0" applyFont="1" applyFill="1" applyBorder="1" applyAlignment="1">
      <alignment vertical="center" wrapText="1"/>
    </xf>
    <xf numFmtId="0" fontId="5" fillId="0" borderId="8" xfId="0" applyFont="1" applyFill="1" applyBorder="1" applyAlignment="1">
      <alignment vertical="center" wrapText="1"/>
    </xf>
    <xf numFmtId="0" fontId="5" fillId="0" borderId="1" xfId="0" applyFont="1" applyFill="1" applyBorder="1" applyAlignment="1">
      <alignment vertical="center" wrapText="1" readingOrder="1"/>
    </xf>
    <xf numFmtId="3" fontId="2" fillId="0" borderId="7"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5" fillId="0" borderId="7" xfId="0" applyFont="1" applyFill="1" applyBorder="1" applyAlignment="1">
      <alignment horizontal="center" vertical="center"/>
    </xf>
    <xf numFmtId="0" fontId="25" fillId="0" borderId="4" xfId="0" applyFont="1" applyFill="1" applyBorder="1" applyAlignment="1">
      <alignment horizontal="center" vertical="center"/>
    </xf>
    <xf numFmtId="164" fontId="12" fillId="0" borderId="7" xfId="0" applyNumberFormat="1" applyFont="1" applyFill="1" applyBorder="1" applyAlignment="1">
      <alignment horizontal="center" vertical="center"/>
    </xf>
    <xf numFmtId="164" fontId="12" fillId="0" borderId="4" xfId="0" applyNumberFormat="1" applyFont="1" applyFill="1" applyBorder="1" applyAlignment="1">
      <alignment horizontal="center" vertical="center"/>
    </xf>
    <xf numFmtId="0" fontId="11" fillId="0" borderId="8" xfId="0" applyFont="1" applyFill="1" applyBorder="1" applyAlignment="1">
      <alignment horizontal="center" vertical="center" wrapText="1" readingOrder="1"/>
    </xf>
    <xf numFmtId="0" fontId="11" fillId="0" borderId="4" xfId="0" applyFont="1" applyFill="1" applyBorder="1" applyAlignment="1">
      <alignment horizontal="center" vertical="center" wrapText="1" readingOrder="1"/>
    </xf>
    <xf numFmtId="164" fontId="10" fillId="0" borderId="7" xfId="0" applyNumberFormat="1" applyFont="1" applyFill="1" applyBorder="1" applyAlignment="1">
      <alignment horizontal="center" vertical="center"/>
    </xf>
    <xf numFmtId="164" fontId="10" fillId="0" borderId="4" xfId="0" applyNumberFormat="1" applyFont="1" applyFill="1" applyBorder="1" applyAlignment="1">
      <alignment horizontal="center" vertical="center"/>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10" fontId="2" fillId="0" borderId="7" xfId="0" applyNumberFormat="1" applyFont="1" applyFill="1" applyBorder="1" applyAlignment="1">
      <alignment horizontal="center" vertical="center"/>
    </xf>
    <xf numFmtId="10" fontId="2" fillId="0" borderId="8" xfId="0" applyNumberFormat="1" applyFont="1" applyFill="1" applyBorder="1" applyAlignment="1">
      <alignment horizontal="center" vertical="center"/>
    </xf>
    <xf numFmtId="10" fontId="2" fillId="0" borderId="4" xfId="0" applyNumberFormat="1" applyFont="1" applyFill="1" applyBorder="1" applyAlignment="1">
      <alignment horizontal="center" vertical="center"/>
    </xf>
    <xf numFmtId="10" fontId="24" fillId="0" borderId="13" xfId="2"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10" fontId="24" fillId="0" borderId="14" xfId="2" applyNumberFormat="1"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5" fillId="0" borderId="2" xfId="0" applyFont="1" applyFill="1" applyBorder="1" applyAlignment="1">
      <alignment horizontal="left" vertical="center" wrapText="1"/>
    </xf>
    <xf numFmtId="0" fontId="20" fillId="0" borderId="2" xfId="0" applyFont="1" applyFill="1" applyBorder="1" applyAlignment="1">
      <alignment horizontal="left" vertical="center" wrapText="1" readingOrder="1"/>
    </xf>
    <xf numFmtId="0" fontId="18" fillId="0" borderId="2" xfId="4" applyFont="1" applyFill="1" applyBorder="1" applyAlignment="1">
      <alignment vertical="center" wrapText="1"/>
    </xf>
    <xf numFmtId="0" fontId="21" fillId="0" borderId="2" xfId="4" applyFont="1" applyFill="1" applyBorder="1" applyAlignment="1">
      <alignment vertical="center" wrapText="1" readingOrder="1"/>
    </xf>
    <xf numFmtId="0" fontId="20" fillId="0" borderId="2" xfId="0" applyFont="1" applyFill="1" applyBorder="1" applyAlignment="1">
      <alignment vertical="center" wrapText="1" readingOrder="1"/>
    </xf>
    <xf numFmtId="0" fontId="20" fillId="0" borderId="7" xfId="0" applyFont="1" applyFill="1" applyBorder="1" applyAlignment="1">
      <alignment vertical="center" wrapText="1" readingOrder="1"/>
    </xf>
    <xf numFmtId="0" fontId="24" fillId="0" borderId="19"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3" xfId="0" applyFont="1" applyFill="1" applyBorder="1" applyAlignment="1">
      <alignment horizontal="center" vertical="center" wrapText="1"/>
    </xf>
    <xf numFmtId="10" fontId="24" fillId="0" borderId="4" xfId="2" applyNumberFormat="1" applyFont="1" applyFill="1" applyBorder="1" applyAlignment="1">
      <alignment horizontal="center" vertical="center"/>
    </xf>
    <xf numFmtId="10" fontId="24" fillId="0" borderId="1" xfId="2" applyNumberFormat="1" applyFont="1" applyFill="1" applyBorder="1" applyAlignment="1">
      <alignment horizontal="center" vertical="center"/>
    </xf>
    <xf numFmtId="10" fontId="26" fillId="0" borderId="1" xfId="0" applyNumberFormat="1" applyFont="1" applyFill="1" applyBorder="1" applyAlignment="1">
      <alignment horizontal="center" vertical="center"/>
    </xf>
    <xf numFmtId="6" fontId="25" fillId="0" borderId="4" xfId="0" applyNumberFormat="1" applyFont="1" applyFill="1" applyBorder="1" applyAlignment="1">
      <alignment horizontal="center" vertical="center" wrapText="1"/>
    </xf>
    <xf numFmtId="168" fontId="25" fillId="0" borderId="4" xfId="0" applyNumberFormat="1" applyFont="1" applyFill="1" applyBorder="1" applyAlignment="1">
      <alignment horizontal="center" vertical="center"/>
    </xf>
    <xf numFmtId="10" fontId="26" fillId="0" borderId="1" xfId="2" applyNumberFormat="1" applyFont="1" applyFill="1" applyBorder="1" applyAlignment="1">
      <alignment horizontal="center" vertical="center"/>
    </xf>
    <xf numFmtId="6" fontId="9" fillId="0" borderId="8" xfId="0" applyNumberFormat="1" applyFont="1" applyFill="1" applyBorder="1" applyAlignment="1">
      <alignment horizontal="center" vertical="center"/>
    </xf>
    <xf numFmtId="10" fontId="24" fillId="0" borderId="8" xfId="2" applyNumberFormat="1" applyFont="1" applyFill="1" applyBorder="1" applyAlignment="1">
      <alignment horizontal="center" vertical="center"/>
    </xf>
    <xf numFmtId="10" fontId="26" fillId="0" borderId="8" xfId="0" applyNumberFormat="1" applyFont="1" applyFill="1" applyBorder="1" applyAlignment="1">
      <alignment horizontal="center" vertical="center"/>
    </xf>
    <xf numFmtId="6" fontId="25" fillId="0" borderId="2" xfId="0" applyNumberFormat="1" applyFont="1" applyFill="1" applyBorder="1" applyAlignment="1">
      <alignment horizontal="center" vertical="center" wrapText="1"/>
    </xf>
    <xf numFmtId="168" fontId="25" fillId="0" borderId="2" xfId="0" applyNumberFormat="1" applyFont="1" applyFill="1" applyBorder="1" applyAlignment="1">
      <alignment horizontal="center" vertical="center"/>
    </xf>
    <xf numFmtId="10" fontId="26" fillId="0" borderId="8" xfId="2" applyNumberFormat="1" applyFont="1" applyFill="1" applyBorder="1" applyAlignment="1">
      <alignment horizontal="center" vertical="center"/>
    </xf>
    <xf numFmtId="3" fontId="2" fillId="0" borderId="4" xfId="0" applyNumberFormat="1" applyFont="1" applyFill="1" applyBorder="1" applyAlignment="1">
      <alignment horizontal="center" vertical="center"/>
    </xf>
    <xf numFmtId="10" fontId="24" fillId="0" borderId="4" xfId="2" applyNumberFormat="1" applyFont="1" applyFill="1" applyBorder="1" applyAlignment="1">
      <alignment horizontal="center" vertical="center"/>
    </xf>
    <xf numFmtId="0" fontId="25" fillId="0" borderId="2" xfId="0" applyFont="1" applyFill="1" applyBorder="1" applyAlignment="1">
      <alignment horizontal="center" vertical="center" wrapText="1"/>
    </xf>
    <xf numFmtId="6" fontId="9" fillId="0" borderId="4" xfId="0" applyNumberFormat="1" applyFont="1" applyFill="1" applyBorder="1" applyAlignment="1">
      <alignment horizontal="center" vertical="center"/>
    </xf>
    <xf numFmtId="10" fontId="24" fillId="0" borderId="2" xfId="2" applyNumberFormat="1" applyFont="1" applyFill="1" applyBorder="1" applyAlignment="1">
      <alignment horizontal="center" vertical="center" wrapText="1"/>
    </xf>
    <xf numFmtId="10" fontId="24" fillId="0" borderId="7" xfId="2" applyNumberFormat="1" applyFont="1" applyFill="1" applyBorder="1" applyAlignment="1">
      <alignment horizontal="center" vertical="center" wrapText="1"/>
    </xf>
    <xf numFmtId="164" fontId="2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0" fontId="24" fillId="0" borderId="4" xfId="2" applyNumberFormat="1" applyFont="1" applyFill="1" applyBorder="1" applyAlignment="1">
      <alignment horizontal="center" vertical="center" wrapText="1"/>
    </xf>
    <xf numFmtId="3" fontId="25" fillId="0" borderId="2" xfId="0" applyNumberFormat="1" applyFont="1" applyFill="1" applyBorder="1" applyAlignment="1">
      <alignment horizontal="center" vertical="center" wrapText="1"/>
    </xf>
    <xf numFmtId="3" fontId="9" fillId="0" borderId="2" xfId="0" applyNumberFormat="1" applyFont="1" applyFill="1" applyBorder="1" applyAlignment="1">
      <alignment horizontal="center" vertical="center"/>
    </xf>
    <xf numFmtId="10" fontId="24" fillId="0" borderId="7" xfId="2" applyNumberFormat="1" applyFont="1" applyFill="1" applyBorder="1" applyAlignment="1">
      <alignment horizontal="center" vertical="center"/>
    </xf>
    <xf numFmtId="3" fontId="25" fillId="0" borderId="2" xfId="0" applyNumberFormat="1" applyFont="1" applyFill="1" applyBorder="1" applyAlignment="1">
      <alignment horizontal="center" vertical="center" wrapText="1"/>
    </xf>
    <xf numFmtId="168" fontId="25" fillId="0" borderId="2" xfId="0" applyNumberFormat="1" applyFont="1" applyFill="1" applyBorder="1" applyAlignment="1">
      <alignment horizontal="center" vertical="center"/>
    </xf>
    <xf numFmtId="0" fontId="25" fillId="0" borderId="2" xfId="0" applyFont="1" applyFill="1" applyBorder="1" applyAlignment="1">
      <alignment horizontal="center" vertical="center" wrapText="1"/>
    </xf>
    <xf numFmtId="0" fontId="9" fillId="0" borderId="7" xfId="0" applyFont="1" applyFill="1" applyBorder="1" applyAlignment="1">
      <alignment horizontal="center" vertical="center"/>
    </xf>
    <xf numFmtId="6" fontId="9" fillId="0" borderId="7" xfId="0" applyNumberFormat="1" applyFont="1" applyFill="1" applyBorder="1" applyAlignment="1">
      <alignment horizontal="center" vertical="center"/>
    </xf>
    <xf numFmtId="166" fontId="2" fillId="0" borderId="4"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25" fillId="0" borderId="7" xfId="0" applyFont="1" applyFill="1" applyBorder="1" applyAlignment="1">
      <alignment horizontal="center" vertical="center" wrapText="1"/>
    </xf>
    <xf numFmtId="168" fontId="25" fillId="0" borderId="7" xfId="0" applyNumberFormat="1" applyFont="1" applyFill="1" applyBorder="1" applyAlignment="1">
      <alignment horizontal="center" vertical="center"/>
    </xf>
    <xf numFmtId="3" fontId="9" fillId="0" borderId="7" xfId="0" applyNumberFormat="1" applyFont="1" applyFill="1" applyBorder="1" applyAlignment="1">
      <alignment horizontal="center" vertical="center" wrapText="1"/>
    </xf>
    <xf numFmtId="3" fontId="9" fillId="0" borderId="7" xfId="0" applyNumberFormat="1" applyFont="1" applyFill="1" applyBorder="1" applyAlignment="1">
      <alignment horizontal="center" vertical="center"/>
    </xf>
    <xf numFmtId="0" fontId="25" fillId="0" borderId="4" xfId="0" applyFont="1" applyFill="1" applyBorder="1" applyAlignment="1">
      <alignment horizontal="center" vertical="center" wrapText="1"/>
    </xf>
    <xf numFmtId="168" fontId="25" fillId="0" borderId="4" xfId="0" applyNumberFormat="1" applyFont="1" applyFill="1" applyBorder="1" applyAlignment="1">
      <alignment horizontal="center" vertical="center"/>
    </xf>
    <xf numFmtId="0" fontId="9" fillId="0" borderId="8" xfId="0" applyFont="1" applyFill="1" applyBorder="1" applyAlignment="1">
      <alignment horizontal="center" vertical="center"/>
    </xf>
    <xf numFmtId="3" fontId="9" fillId="0" borderId="8" xfId="0" applyNumberFormat="1" applyFont="1" applyFill="1" applyBorder="1" applyAlignment="1">
      <alignment horizontal="center" vertical="center" wrapText="1"/>
    </xf>
    <xf numFmtId="3" fontId="9" fillId="0" borderId="8" xfId="0" applyNumberFormat="1" applyFont="1" applyFill="1" applyBorder="1" applyAlignment="1">
      <alignment horizontal="center" vertical="center"/>
    </xf>
    <xf numFmtId="3" fontId="9" fillId="0" borderId="4" xfId="0"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xf>
    <xf numFmtId="3" fontId="25" fillId="0" borderId="7" xfId="0" applyNumberFormat="1" applyFont="1" applyFill="1" applyBorder="1" applyAlignment="1">
      <alignment horizontal="center" vertical="center" wrapText="1"/>
    </xf>
    <xf numFmtId="3" fontId="25" fillId="0" borderId="8" xfId="0" applyNumberFormat="1" applyFont="1" applyFill="1" applyBorder="1" applyAlignment="1">
      <alignment horizontal="center" vertical="center" wrapText="1"/>
    </xf>
    <xf numFmtId="168" fontId="25" fillId="0" borderId="8" xfId="0" applyNumberFormat="1" applyFont="1" applyFill="1" applyBorder="1" applyAlignment="1">
      <alignment horizontal="center" vertical="center"/>
    </xf>
    <xf numFmtId="10" fontId="26" fillId="0" borderId="4" xfId="0" applyNumberFormat="1" applyFont="1" applyFill="1" applyBorder="1" applyAlignment="1">
      <alignment horizontal="center" vertical="center"/>
    </xf>
    <xf numFmtId="3" fontId="25" fillId="0" borderId="4" xfId="0" applyNumberFormat="1" applyFont="1" applyFill="1" applyBorder="1" applyAlignment="1">
      <alignment horizontal="center" vertical="center" wrapText="1"/>
    </xf>
    <xf numFmtId="10" fontId="26" fillId="0" borderId="4" xfId="2" applyNumberFormat="1" applyFont="1" applyFill="1" applyBorder="1" applyAlignment="1">
      <alignment horizontal="center" vertical="center"/>
    </xf>
    <xf numFmtId="0" fontId="5" fillId="0" borderId="2"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5" fillId="0" borderId="2" xfId="0" applyFont="1" applyFill="1" applyBorder="1" applyAlignment="1">
      <alignment wrapText="1"/>
    </xf>
    <xf numFmtId="0" fontId="20" fillId="0" borderId="2" xfId="0" applyFont="1" applyFill="1" applyBorder="1" applyAlignment="1">
      <alignment horizontal="justify" wrapText="1"/>
    </xf>
    <xf numFmtId="0" fontId="20" fillId="0" borderId="2" xfId="0" applyFont="1" applyFill="1" applyBorder="1" applyAlignment="1">
      <alignment wrapText="1"/>
    </xf>
    <xf numFmtId="0" fontId="5" fillId="0" borderId="2" xfId="0" applyFont="1" applyFill="1" applyBorder="1" applyAlignment="1">
      <alignment vertical="center"/>
    </xf>
    <xf numFmtId="0" fontId="20" fillId="0" borderId="2" xfId="0" applyFont="1" applyFill="1" applyBorder="1" applyAlignment="1">
      <alignment vertical="center"/>
    </xf>
    <xf numFmtId="0" fontId="20" fillId="0" borderId="2" xfId="0" applyFont="1" applyFill="1" applyBorder="1" applyAlignment="1">
      <alignment vertical="center" wrapText="1"/>
    </xf>
    <xf numFmtId="0" fontId="21" fillId="0" borderId="33" xfId="0"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10" fontId="6" fillId="0" borderId="1" xfId="0" applyNumberFormat="1" applyFont="1" applyFill="1" applyBorder="1" applyAlignment="1">
      <alignment horizontal="center" vertical="center" wrapText="1" readingOrder="1"/>
    </xf>
    <xf numFmtId="0" fontId="2" fillId="0" borderId="2" xfId="2"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5" fillId="0" borderId="0" xfId="0" applyFont="1" applyFill="1" applyBorder="1" applyAlignment="1">
      <alignment horizontal="center" vertical="center"/>
    </xf>
    <xf numFmtId="10" fontId="6" fillId="0" borderId="4" xfId="0" applyNumberFormat="1" applyFont="1" applyFill="1" applyBorder="1" applyAlignment="1">
      <alignment horizontal="center" vertical="center" wrapText="1" readingOrder="1"/>
    </xf>
    <xf numFmtId="0" fontId="5" fillId="0" borderId="0" xfId="0" applyFont="1" applyFill="1" applyBorder="1"/>
    <xf numFmtId="10" fontId="6" fillId="0" borderId="7" xfId="0" applyNumberFormat="1" applyFont="1" applyFill="1" applyBorder="1" applyAlignment="1">
      <alignment horizontal="center" vertical="center" wrapText="1" readingOrder="1"/>
    </xf>
    <xf numFmtId="10" fontId="2" fillId="0" borderId="2" xfId="2" applyNumberFormat="1" applyFont="1" applyFill="1" applyBorder="1" applyAlignment="1">
      <alignment horizontal="center" vertical="center"/>
    </xf>
    <xf numFmtId="10" fontId="2" fillId="0" borderId="7" xfId="2" applyNumberFormat="1" applyFont="1" applyFill="1" applyBorder="1" applyAlignment="1">
      <alignment horizontal="center" vertical="center" wrapText="1" readingOrder="1"/>
    </xf>
    <xf numFmtId="0" fontId="2" fillId="0" borderId="7" xfId="2" applyNumberFormat="1"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3" fontId="2" fillId="0" borderId="7" xfId="0" applyNumberFormat="1" applyFont="1" applyFill="1" applyBorder="1" applyAlignment="1">
      <alignment horizontal="center" vertical="center"/>
    </xf>
    <xf numFmtId="10" fontId="2" fillId="0" borderId="7" xfId="2" applyNumberFormat="1" applyFont="1" applyFill="1" applyBorder="1" applyAlignment="1">
      <alignment horizontal="center" vertical="center" wrapText="1"/>
    </xf>
    <xf numFmtId="10" fontId="2" fillId="0" borderId="8" xfId="2" applyNumberFormat="1" applyFont="1" applyFill="1" applyBorder="1" applyAlignment="1">
      <alignment horizontal="center" vertical="center" wrapText="1" readingOrder="1"/>
    </xf>
    <xf numFmtId="0" fontId="2" fillId="0" borderId="4" xfId="2" applyNumberFormat="1"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10" fontId="2" fillId="0" borderId="4" xfId="2" applyNumberFormat="1" applyFont="1" applyFill="1" applyBorder="1" applyAlignment="1">
      <alignment horizontal="center" vertical="center" wrapText="1"/>
    </xf>
    <xf numFmtId="10" fontId="2" fillId="0" borderId="4" xfId="2" applyNumberFormat="1" applyFont="1" applyFill="1" applyBorder="1" applyAlignment="1">
      <alignment horizontal="center" vertical="center" wrapText="1" readingOrder="1"/>
    </xf>
    <xf numFmtId="166" fontId="2" fillId="0" borderId="2" xfId="0" applyNumberFormat="1" applyFont="1" applyFill="1" applyBorder="1" applyAlignment="1">
      <alignment horizontal="center" vertical="center"/>
    </xf>
    <xf numFmtId="0" fontId="6" fillId="0" borderId="7" xfId="0" applyFont="1" applyFill="1" applyBorder="1" applyAlignment="1">
      <alignment horizontal="center" vertical="center" wrapText="1" readingOrder="1"/>
    </xf>
    <xf numFmtId="0" fontId="2" fillId="0" borderId="7" xfId="0" applyFont="1" applyFill="1" applyBorder="1" applyAlignment="1">
      <alignment horizontal="center" vertical="center"/>
    </xf>
    <xf numFmtId="10" fontId="26" fillId="0" borderId="7" xfId="0" applyNumberFormat="1" applyFont="1" applyFill="1" applyBorder="1" applyAlignment="1">
      <alignment horizontal="center" vertical="center"/>
    </xf>
    <xf numFmtId="164" fontId="25" fillId="0" borderId="2" xfId="0" applyNumberFormat="1" applyFont="1" applyFill="1" applyBorder="1" applyAlignment="1">
      <alignment horizontal="center" vertical="center"/>
    </xf>
    <xf numFmtId="0" fontId="5" fillId="0" borderId="2" xfId="0" applyNumberFormat="1" applyFont="1" applyFill="1" applyBorder="1" applyAlignment="1">
      <alignment horizontal="left" vertical="center" wrapText="1"/>
    </xf>
    <xf numFmtId="0" fontId="20" fillId="0" borderId="2" xfId="0" applyNumberFormat="1" applyFont="1" applyFill="1" applyBorder="1" applyAlignment="1">
      <alignment horizontal="left" vertical="center" wrapText="1"/>
    </xf>
    <xf numFmtId="0" fontId="6" fillId="0" borderId="8" xfId="0" applyFont="1" applyFill="1" applyBorder="1" applyAlignment="1">
      <alignment horizontal="center" vertical="center" wrapText="1" readingOrder="1"/>
    </xf>
    <xf numFmtId="10" fontId="2" fillId="0" borderId="8" xfId="2" applyNumberFormat="1" applyFont="1" applyFill="1" applyBorder="1" applyAlignment="1">
      <alignment horizontal="center" vertical="center"/>
    </xf>
    <xf numFmtId="165" fontId="20" fillId="0" borderId="2" xfId="0" applyNumberFormat="1" applyFont="1" applyFill="1" applyBorder="1" applyAlignment="1">
      <alignment vertical="center" wrapText="1"/>
    </xf>
    <xf numFmtId="0" fontId="20" fillId="0" borderId="2" xfId="0" applyFont="1" applyFill="1" applyBorder="1" applyAlignment="1">
      <alignment horizontal="left" vertical="center" wrapText="1"/>
    </xf>
    <xf numFmtId="0" fontId="6" fillId="0" borderId="4" xfId="0" applyFont="1" applyFill="1" applyBorder="1" applyAlignment="1">
      <alignment horizontal="center" vertical="center" wrapText="1" readingOrder="1"/>
    </xf>
    <xf numFmtId="164" fontId="25" fillId="0" borderId="7" xfId="0" applyNumberFormat="1" applyFont="1" applyFill="1" applyBorder="1" applyAlignment="1">
      <alignment horizontal="center" vertical="center"/>
    </xf>
    <xf numFmtId="0" fontId="25" fillId="0" borderId="8" xfId="0" applyFont="1" applyFill="1" applyBorder="1" applyAlignment="1">
      <alignment horizontal="center" vertical="center" wrapText="1"/>
    </xf>
    <xf numFmtId="164" fontId="25" fillId="0" borderId="8" xfId="0" applyNumberFormat="1" applyFont="1" applyFill="1" applyBorder="1" applyAlignment="1">
      <alignment horizontal="center" vertical="center"/>
    </xf>
    <xf numFmtId="0" fontId="9" fillId="0" borderId="7" xfId="0" applyFont="1" applyFill="1" applyBorder="1" applyAlignment="1">
      <alignment vertical="center"/>
    </xf>
    <xf numFmtId="0" fontId="20" fillId="0" borderId="2" xfId="0" applyFont="1" applyFill="1" applyBorder="1" applyAlignment="1">
      <alignment horizontal="justify" vertical="center" wrapText="1"/>
    </xf>
    <xf numFmtId="164" fontId="25" fillId="0" borderId="4" xfId="0" applyNumberFormat="1" applyFont="1" applyFill="1" applyBorder="1" applyAlignment="1">
      <alignment horizontal="center" vertical="center"/>
    </xf>
    <xf numFmtId="0" fontId="9" fillId="0" borderId="8" xfId="0" applyFont="1" applyFill="1" applyBorder="1" applyAlignment="1">
      <alignment vertical="center"/>
    </xf>
    <xf numFmtId="0" fontId="20" fillId="0" borderId="2" xfId="0" applyNumberFormat="1" applyFont="1" applyFill="1" applyBorder="1" applyAlignment="1">
      <alignment horizontal="center" vertical="center" wrapText="1"/>
    </xf>
    <xf numFmtId="0" fontId="9" fillId="0" borderId="4" xfId="0" applyFont="1" applyFill="1" applyBorder="1" applyAlignment="1">
      <alignment vertical="center"/>
    </xf>
    <xf numFmtId="0" fontId="20"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9" fillId="0" borderId="2" xfId="0" applyFont="1" applyFill="1" applyBorder="1" applyAlignment="1">
      <alignment vertical="center"/>
    </xf>
    <xf numFmtId="0" fontId="5" fillId="0" borderId="6" xfId="0" applyFont="1" applyFill="1" applyBorder="1" applyAlignment="1">
      <alignment vertical="center" wrapText="1"/>
    </xf>
    <xf numFmtId="164" fontId="25" fillId="0" borderId="2" xfId="3" applyNumberFormat="1" applyFont="1" applyFill="1" applyBorder="1" applyAlignment="1">
      <alignment horizontal="center" vertical="center"/>
    </xf>
    <xf numFmtId="0" fontId="2" fillId="0" borderId="9" xfId="0" applyFont="1" applyFill="1" applyBorder="1" applyAlignment="1">
      <alignment horizontal="center" vertical="center" wrapText="1" readingOrder="1"/>
    </xf>
    <xf numFmtId="0" fontId="5" fillId="0" borderId="2" xfId="0" applyFont="1" applyFill="1" applyBorder="1" applyAlignment="1">
      <alignment horizontal="justify" vertical="justify"/>
    </xf>
    <xf numFmtId="164" fontId="25" fillId="0" borderId="7" xfId="3" applyNumberFormat="1" applyFont="1" applyFill="1" applyBorder="1" applyAlignment="1">
      <alignment horizontal="center" vertical="center"/>
    </xf>
    <xf numFmtId="10" fontId="27" fillId="0" borderId="4" xfId="2" applyNumberFormat="1" applyFont="1" applyFill="1" applyBorder="1" applyAlignment="1">
      <alignment horizontal="center" vertical="center"/>
    </xf>
    <xf numFmtId="164" fontId="25" fillId="0" borderId="8" xfId="3" applyNumberFormat="1" applyFont="1" applyFill="1" applyBorder="1" applyAlignment="1">
      <alignment horizontal="center" vertical="center"/>
    </xf>
    <xf numFmtId="164" fontId="25" fillId="0" borderId="4" xfId="3" applyNumberFormat="1" applyFont="1" applyFill="1" applyBorder="1" applyAlignment="1">
      <alignment horizontal="center" vertical="center"/>
    </xf>
    <xf numFmtId="10" fontId="24" fillId="0" borderId="7" xfId="0" applyNumberFormat="1" applyFont="1" applyFill="1" applyBorder="1" applyAlignment="1">
      <alignment horizontal="center" vertical="center"/>
    </xf>
    <xf numFmtId="10" fontId="24" fillId="0" borderId="8"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9" fillId="0" borderId="2" xfId="0" applyFont="1" applyFill="1" applyBorder="1"/>
    <xf numFmtId="6" fontId="9" fillId="0" borderId="2" xfId="0" applyNumberFormat="1" applyFont="1" applyFill="1" applyBorder="1" applyAlignment="1">
      <alignment horizontal="center" vertical="center"/>
    </xf>
    <xf numFmtId="10" fontId="24" fillId="0" borderId="4" xfId="0" applyNumberFormat="1" applyFont="1" applyFill="1" applyBorder="1" applyAlignment="1">
      <alignment horizontal="center" vertical="center"/>
    </xf>
    <xf numFmtId="10" fontId="6" fillId="0" borderId="7" xfId="2" applyNumberFormat="1" applyFont="1" applyFill="1" applyBorder="1" applyAlignment="1">
      <alignment horizontal="center" vertical="center" wrapText="1" readingOrder="1"/>
    </xf>
    <xf numFmtId="168" fontId="25" fillId="0" borderId="7" xfId="3" applyNumberFormat="1" applyFont="1" applyFill="1" applyBorder="1" applyAlignment="1">
      <alignment horizontal="center" vertical="center"/>
    </xf>
    <xf numFmtId="168" fontId="25" fillId="0" borderId="2" xfId="3" applyNumberFormat="1" applyFont="1" applyFill="1" applyBorder="1" applyAlignment="1">
      <alignment horizontal="center" vertical="center"/>
    </xf>
    <xf numFmtId="0" fontId="9" fillId="0" borderId="2" xfId="0" applyFont="1" applyFill="1" applyBorder="1" applyAlignment="1"/>
    <xf numFmtId="10" fontId="6" fillId="0" borderId="8" xfId="2" applyNumberFormat="1" applyFont="1" applyFill="1" applyBorder="1" applyAlignment="1">
      <alignment horizontal="center" vertical="center" wrapText="1" readingOrder="1"/>
    </xf>
    <xf numFmtId="168" fontId="25" fillId="0" borderId="7" xfId="3" applyNumberFormat="1" applyFont="1" applyFill="1" applyBorder="1" applyAlignment="1">
      <alignment horizontal="center" vertical="center"/>
    </xf>
    <xf numFmtId="10" fontId="6" fillId="0" borderId="4" xfId="2" applyNumberFormat="1" applyFont="1" applyFill="1" applyBorder="1" applyAlignment="1">
      <alignment horizontal="center" vertical="center" wrapText="1" readingOrder="1"/>
    </xf>
    <xf numFmtId="0" fontId="28" fillId="0" borderId="2" xfId="0" applyFont="1" applyFill="1" applyBorder="1" applyAlignment="1">
      <alignment horizontal="center" vertical="center"/>
    </xf>
    <xf numFmtId="168" fontId="25" fillId="0" borderId="4" xfId="3" applyNumberFormat="1" applyFont="1" applyFill="1" applyBorder="1" applyAlignment="1">
      <alignment horizontal="center" vertical="center"/>
    </xf>
    <xf numFmtId="0" fontId="16" fillId="0" borderId="2" xfId="0" applyFont="1" applyFill="1" applyBorder="1" applyAlignment="1">
      <alignment wrapText="1"/>
    </xf>
    <xf numFmtId="0" fontId="5" fillId="0" borderId="0" xfId="0" applyFont="1" applyFill="1"/>
    <xf numFmtId="0" fontId="24" fillId="0" borderId="0" xfId="0" applyFont="1" applyFill="1"/>
    <xf numFmtId="10" fontId="5" fillId="0" borderId="0" xfId="2" applyNumberFormat="1" applyFont="1" applyFill="1"/>
    <xf numFmtId="10" fontId="2" fillId="0" borderId="0" xfId="2" applyNumberFormat="1" applyFont="1" applyFill="1"/>
    <xf numFmtId="0" fontId="2" fillId="0" borderId="0" xfId="0" applyFont="1" applyFill="1"/>
    <xf numFmtId="10" fontId="29" fillId="0" borderId="0" xfId="2" applyNumberFormat="1" applyFont="1" applyFill="1"/>
    <xf numFmtId="0" fontId="5" fillId="0" borderId="0" xfId="0" applyFont="1" applyFill="1" applyAlignment="1">
      <alignment horizontal="center" vertical="center"/>
    </xf>
    <xf numFmtId="0" fontId="5" fillId="0" borderId="0" xfId="0" applyFont="1" applyFill="1" applyBorder="1" applyAlignment="1">
      <alignment vertical="center"/>
    </xf>
    <xf numFmtId="0" fontId="20" fillId="0" borderId="0" xfId="0" applyFont="1" applyFill="1" applyBorder="1" applyAlignment="1">
      <alignment vertical="center"/>
    </xf>
    <xf numFmtId="10" fontId="22" fillId="0" borderId="30" xfId="2" applyNumberFormat="1" applyFont="1" applyFill="1" applyBorder="1" applyAlignment="1">
      <alignment horizontal="center" vertical="center" wrapText="1"/>
    </xf>
    <xf numFmtId="10" fontId="22" fillId="0" borderId="31" xfId="2" applyNumberFormat="1" applyFont="1" applyFill="1" applyBorder="1" applyAlignment="1">
      <alignment horizontal="center" vertical="center" wrapText="1"/>
    </xf>
    <xf numFmtId="10" fontId="22" fillId="0" borderId="32" xfId="2" applyNumberFormat="1" applyFont="1" applyFill="1" applyBorder="1" applyAlignment="1">
      <alignment horizontal="center" vertical="center" wrapText="1"/>
    </xf>
    <xf numFmtId="10" fontId="25" fillId="0" borderId="18" xfId="2" applyNumberFormat="1" applyFont="1" applyFill="1" applyBorder="1" applyAlignment="1">
      <alignment horizontal="center" vertical="center"/>
    </xf>
    <xf numFmtId="10" fontId="25" fillId="0" borderId="30" xfId="2" applyNumberFormat="1" applyFont="1" applyFill="1" applyBorder="1" applyAlignment="1">
      <alignment horizontal="center" vertical="center" wrapText="1"/>
    </xf>
    <xf numFmtId="10" fontId="25" fillId="0" borderId="32" xfId="2" applyNumberFormat="1" applyFont="1" applyFill="1" applyBorder="1" applyAlignment="1">
      <alignment horizontal="center" vertical="center" wrapText="1"/>
    </xf>
    <xf numFmtId="10" fontId="24" fillId="0" borderId="18" xfId="2" applyNumberFormat="1" applyFont="1" applyFill="1" applyBorder="1" applyAlignment="1">
      <alignment horizontal="center" vertical="center"/>
    </xf>
    <xf numFmtId="0" fontId="25" fillId="0" borderId="30" xfId="0" applyFont="1" applyFill="1" applyBorder="1" applyAlignment="1">
      <alignment horizontal="center" vertical="center" wrapText="1"/>
    </xf>
    <xf numFmtId="0" fontId="25" fillId="0" borderId="34" xfId="0" applyFont="1" applyFill="1" applyBorder="1" applyAlignment="1">
      <alignment horizontal="center" vertical="center" wrapText="1"/>
    </xf>
    <xf numFmtId="168" fontId="25" fillId="0" borderId="3" xfId="0" applyNumberFormat="1" applyFont="1" applyFill="1" applyBorder="1" applyAlignment="1">
      <alignment horizontal="center" vertical="center"/>
    </xf>
    <xf numFmtId="168" fontId="25" fillId="0" borderId="20" xfId="0" applyNumberFormat="1" applyFont="1" applyFill="1" applyBorder="1" applyAlignment="1">
      <alignment horizontal="center" vertical="center"/>
    </xf>
    <xf numFmtId="10" fontId="25" fillId="0" borderId="3" xfId="2" applyNumberFormat="1" applyFont="1" applyFill="1" applyBorder="1" applyAlignment="1">
      <alignment horizontal="center" vertical="center"/>
    </xf>
    <xf numFmtId="10" fontId="24" fillId="0" borderId="0" xfId="2" applyNumberFormat="1" applyFont="1" applyFill="1" applyAlignment="1">
      <alignment vertical="center" wrapText="1"/>
    </xf>
    <xf numFmtId="10" fontId="24" fillId="0" borderId="0" xfId="2" applyNumberFormat="1" applyFont="1" applyFill="1" applyAlignment="1">
      <alignment vertical="center"/>
    </xf>
    <xf numFmtId="0" fontId="24" fillId="0" borderId="35" xfId="0" applyFont="1" applyFill="1" applyBorder="1" applyAlignment="1">
      <alignment horizontal="center" vertical="center" wrapText="1"/>
    </xf>
    <xf numFmtId="0" fontId="24" fillId="0" borderId="37" xfId="0" applyFont="1" applyFill="1" applyBorder="1" applyAlignment="1">
      <alignment horizontal="center" vertical="center" wrapText="1"/>
    </xf>
    <xf numFmtId="10" fontId="24" fillId="0" borderId="13" xfId="0" applyNumberFormat="1" applyFont="1" applyFill="1" applyBorder="1" applyAlignment="1">
      <alignment horizontal="center" vertical="center" wrapText="1"/>
    </xf>
    <xf numFmtId="0" fontId="24" fillId="0" borderId="36" xfId="0" applyFont="1" applyFill="1" applyBorder="1" applyAlignment="1">
      <alignment horizontal="center" vertical="center" wrapText="1"/>
    </xf>
    <xf numFmtId="0" fontId="24" fillId="0" borderId="38" xfId="0" applyFont="1" applyFill="1" applyBorder="1" applyAlignment="1">
      <alignment horizontal="center" vertical="center" wrapText="1"/>
    </xf>
    <xf numFmtId="10" fontId="24" fillId="0" borderId="14" xfId="0" applyNumberFormat="1" applyFont="1" applyFill="1" applyBorder="1" applyAlignment="1">
      <alignment horizontal="center" vertical="center" wrapText="1"/>
    </xf>
  </cellXfs>
  <cellStyles count="5">
    <cellStyle name="Hipervínculo" xfId="4" builtinId="8"/>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FB9F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Downloads/Unidades%20de%20Servicio%20Intervenidos%20entre%2001%20julio%20y%2030%20sept%202018.xlsx" TargetMode="External"/><Relationship Id="rId1" Type="http://schemas.openxmlformats.org/officeDocument/2006/relationships/hyperlink" Target="../../../Downloads/Unidades%20de%20Servicio%20Intervenidos%20entre%2001%20julio%20y%2030%20sept%202018.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8"/>
  <sheetViews>
    <sheetView tabSelected="1" zoomScale="50" zoomScaleNormal="50" workbookViewId="0">
      <pane ySplit="4" topLeftCell="A5" activePane="bottomLeft" state="frozen"/>
      <selection activeCell="AD3" sqref="AD3"/>
      <selection pane="bottomLeft" activeCell="A5" sqref="A5:A67"/>
    </sheetView>
  </sheetViews>
  <sheetFormatPr baseColWidth="10" defaultColWidth="27.42578125" defaultRowHeight="26.25" x14ac:dyDescent="0.4"/>
  <cols>
    <col min="1" max="3" width="27.42578125" style="6"/>
    <col min="4" max="4" width="27.42578125" style="12"/>
    <col min="5" max="6" width="27.42578125" style="6"/>
    <col min="7" max="7" width="27.42578125" style="69"/>
    <col min="8" max="8" width="31.85546875" style="71" customWidth="1"/>
    <col min="9" max="9" width="27.42578125" style="2"/>
    <col min="10" max="10" width="35.85546875" style="2" customWidth="1"/>
    <col min="11" max="11" width="26.7109375" style="2" customWidth="1"/>
    <col min="12" max="12" width="25.5703125" style="2" customWidth="1"/>
    <col min="13" max="13" width="19.85546875" style="2" customWidth="1"/>
    <col min="14" max="14" width="29.5703125" style="2" hidden="1" customWidth="1"/>
    <col min="15" max="15" width="31.5703125" style="6" hidden="1" customWidth="1"/>
    <col min="16" max="16" width="27.85546875" style="6" customWidth="1"/>
    <col min="17" max="17" width="35" style="6" hidden="1" customWidth="1"/>
    <col min="18" max="18" width="31.28515625" style="6" customWidth="1"/>
    <col min="19" max="19" width="26.7109375" style="13" customWidth="1"/>
    <col min="20" max="20" width="24.42578125" style="72" customWidth="1"/>
    <col min="21" max="21" width="22.42578125" style="58" customWidth="1"/>
    <col min="22" max="22" width="26.42578125" style="58" customWidth="1"/>
    <col min="23" max="23" width="25.85546875" style="58" customWidth="1"/>
    <col min="24" max="25" width="22.42578125" style="58" customWidth="1"/>
    <col min="26" max="29" width="27.42578125" style="12" customWidth="1"/>
    <col min="30" max="30" width="27.42578125" style="57"/>
    <col min="31" max="31" width="27.28515625" style="13" customWidth="1"/>
    <col min="32" max="32" width="31.140625" style="63" customWidth="1"/>
    <col min="33" max="33" width="41.140625" style="63" customWidth="1"/>
    <col min="34" max="34" width="32" style="62" customWidth="1"/>
    <col min="35" max="35" width="32.85546875" style="6" customWidth="1"/>
    <col min="36" max="36" width="27.85546875" style="12" hidden="1" customWidth="1"/>
    <col min="37" max="37" width="24.42578125" style="6" hidden="1" customWidth="1"/>
    <col min="38" max="38" width="28.42578125" style="6" customWidth="1"/>
    <col min="39" max="39" width="33.5703125" style="6" customWidth="1"/>
    <col min="40" max="40" width="25.5703125" style="6" customWidth="1"/>
    <col min="41" max="41" width="41" style="47" customWidth="1"/>
    <col min="42" max="42" width="42.140625" style="47" customWidth="1"/>
    <col min="43" max="43" width="42.42578125" style="53" customWidth="1"/>
    <col min="44" max="44" width="49.5703125" style="53" customWidth="1"/>
    <col min="45" max="45" width="54.42578125" style="52" customWidth="1"/>
    <col min="46" max="46" width="37.85546875" style="7" customWidth="1"/>
    <col min="47" max="47" width="21.85546875" style="7" customWidth="1"/>
    <col min="48" max="48" width="27.28515625" style="7" customWidth="1"/>
    <col min="49" max="49" width="31.85546875" style="7" customWidth="1"/>
    <col min="50" max="50" width="70.7109375" style="7" customWidth="1"/>
    <col min="51" max="51" width="109.28515625" style="51" customWidth="1"/>
    <col min="52" max="16384" width="27.42578125" style="7"/>
  </cols>
  <sheetData>
    <row r="1" spans="1:52" ht="45.75" customHeight="1" x14ac:dyDescent="0.6">
      <c r="A1" s="137" t="s">
        <v>298</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row>
    <row r="2" spans="1:52" ht="15.75" customHeight="1" thickBot="1" x14ac:dyDescent="0.45">
      <c r="A2" s="7"/>
      <c r="B2" s="7"/>
      <c r="C2" s="7"/>
      <c r="D2" s="7"/>
      <c r="E2" s="7"/>
      <c r="F2" s="7"/>
      <c r="G2" s="68"/>
      <c r="H2" s="70"/>
      <c r="I2" s="7"/>
      <c r="J2" s="7"/>
      <c r="K2" s="7"/>
      <c r="L2" s="22"/>
      <c r="M2" s="7"/>
      <c r="N2" s="7"/>
      <c r="O2" s="7"/>
      <c r="P2" s="7"/>
      <c r="Q2" s="7"/>
      <c r="R2" s="7"/>
      <c r="S2" s="7"/>
      <c r="T2" s="30"/>
      <c r="U2" s="56"/>
      <c r="V2" s="56"/>
      <c r="W2" s="56"/>
      <c r="X2" s="56"/>
      <c r="Y2" s="56"/>
      <c r="Z2" s="30"/>
      <c r="AA2" s="30"/>
      <c r="AB2" s="30"/>
      <c r="AC2" s="30"/>
      <c r="AD2" s="56"/>
      <c r="AE2" s="7"/>
      <c r="AF2" s="64"/>
      <c r="AG2" s="64"/>
      <c r="AH2" s="61"/>
      <c r="AI2" s="7"/>
      <c r="AJ2" s="7"/>
      <c r="AK2" s="7"/>
      <c r="AL2" s="7"/>
      <c r="AM2" s="7"/>
      <c r="AN2" s="7"/>
      <c r="AO2" s="46"/>
      <c r="AP2" s="46"/>
      <c r="AQ2" s="54"/>
      <c r="AR2" s="54"/>
    </row>
    <row r="3" spans="1:52" s="8" customFormat="1" ht="24" customHeight="1" thickBot="1" x14ac:dyDescent="0.3">
      <c r="A3" s="111" t="s">
        <v>0</v>
      </c>
      <c r="B3" s="111" t="s">
        <v>1</v>
      </c>
      <c r="C3" s="138" t="s">
        <v>2</v>
      </c>
      <c r="D3" s="140" t="s">
        <v>3</v>
      </c>
      <c r="E3" s="111" t="s">
        <v>4</v>
      </c>
      <c r="F3" s="144" t="s">
        <v>226</v>
      </c>
      <c r="G3" s="111" t="s">
        <v>411</v>
      </c>
      <c r="H3" s="169" t="s">
        <v>412</v>
      </c>
      <c r="I3" s="111" t="s">
        <v>5</v>
      </c>
      <c r="J3" s="111" t="s">
        <v>6</v>
      </c>
      <c r="K3" s="111" t="s">
        <v>232</v>
      </c>
      <c r="L3" s="111" t="s">
        <v>227</v>
      </c>
      <c r="M3" s="111" t="s">
        <v>7</v>
      </c>
      <c r="N3" s="111" t="s">
        <v>8</v>
      </c>
      <c r="O3" s="111" t="s">
        <v>9</v>
      </c>
      <c r="P3" s="142" t="s">
        <v>10</v>
      </c>
      <c r="Q3" s="111" t="s">
        <v>11</v>
      </c>
      <c r="R3" s="111" t="s">
        <v>211</v>
      </c>
      <c r="S3" s="111" t="s">
        <v>263</v>
      </c>
      <c r="T3" s="116" t="s">
        <v>22</v>
      </c>
      <c r="U3" s="111" t="s">
        <v>301</v>
      </c>
      <c r="V3" s="168" t="s">
        <v>415</v>
      </c>
      <c r="W3" s="168" t="s">
        <v>414</v>
      </c>
      <c r="X3" s="168" t="s">
        <v>365</v>
      </c>
      <c r="Y3" s="169" t="s">
        <v>364</v>
      </c>
      <c r="Z3" s="111" t="s">
        <v>12</v>
      </c>
      <c r="AA3" s="111" t="s">
        <v>202</v>
      </c>
      <c r="AB3" s="163" t="s">
        <v>256</v>
      </c>
      <c r="AC3" s="116" t="s">
        <v>294</v>
      </c>
      <c r="AD3" s="111" t="s">
        <v>302</v>
      </c>
      <c r="AE3" s="111" t="s">
        <v>228</v>
      </c>
      <c r="AF3" s="168" t="s">
        <v>363</v>
      </c>
      <c r="AG3" s="168" t="s">
        <v>365</v>
      </c>
      <c r="AH3" s="169" t="s">
        <v>364</v>
      </c>
      <c r="AI3" s="113" t="s">
        <v>13</v>
      </c>
      <c r="AJ3" s="114"/>
      <c r="AK3" s="114"/>
      <c r="AL3" s="115"/>
      <c r="AM3" s="111" t="s">
        <v>14</v>
      </c>
      <c r="AN3" s="111" t="s">
        <v>15</v>
      </c>
      <c r="AO3" s="181" t="s">
        <v>16</v>
      </c>
      <c r="AP3" s="182"/>
      <c r="AQ3" s="182"/>
      <c r="AR3" s="182"/>
      <c r="AS3" s="183"/>
      <c r="AT3" s="84" t="s">
        <v>16</v>
      </c>
      <c r="AU3" s="85"/>
      <c r="AV3" s="85"/>
      <c r="AW3" s="86"/>
      <c r="AX3" s="172" t="s">
        <v>240</v>
      </c>
      <c r="AY3" s="173" t="s">
        <v>303</v>
      </c>
    </row>
    <row r="4" spans="1:52" s="8" customFormat="1" ht="116.25" customHeight="1" thickBot="1" x14ac:dyDescent="0.3">
      <c r="A4" s="112"/>
      <c r="B4" s="112"/>
      <c r="C4" s="139"/>
      <c r="D4" s="141"/>
      <c r="E4" s="112"/>
      <c r="F4" s="145"/>
      <c r="G4" s="112"/>
      <c r="H4" s="171"/>
      <c r="I4" s="112"/>
      <c r="J4" s="112"/>
      <c r="K4" s="112"/>
      <c r="L4" s="112"/>
      <c r="M4" s="112"/>
      <c r="N4" s="112"/>
      <c r="O4" s="112"/>
      <c r="P4" s="143"/>
      <c r="Q4" s="112"/>
      <c r="R4" s="112"/>
      <c r="S4" s="112"/>
      <c r="T4" s="117"/>
      <c r="U4" s="112"/>
      <c r="V4" s="170"/>
      <c r="W4" s="170"/>
      <c r="X4" s="170"/>
      <c r="Y4" s="171"/>
      <c r="Z4" s="112"/>
      <c r="AA4" s="112"/>
      <c r="AB4" s="164"/>
      <c r="AC4" s="117"/>
      <c r="AD4" s="112"/>
      <c r="AE4" s="112"/>
      <c r="AF4" s="170"/>
      <c r="AG4" s="170"/>
      <c r="AH4" s="171"/>
      <c r="AI4" s="9" t="s">
        <v>17</v>
      </c>
      <c r="AJ4" s="14" t="s">
        <v>230</v>
      </c>
      <c r="AK4" s="14" t="s">
        <v>231</v>
      </c>
      <c r="AL4" s="14" t="s">
        <v>229</v>
      </c>
      <c r="AM4" s="112"/>
      <c r="AN4" s="112"/>
      <c r="AO4" s="184" t="s">
        <v>283</v>
      </c>
      <c r="AP4" s="184" t="s">
        <v>284</v>
      </c>
      <c r="AQ4" s="184" t="s">
        <v>220</v>
      </c>
      <c r="AR4" s="184" t="s">
        <v>221</v>
      </c>
      <c r="AS4" s="184" t="s">
        <v>224</v>
      </c>
      <c r="AT4" s="45" t="s">
        <v>18</v>
      </c>
      <c r="AU4" s="45" t="s">
        <v>19</v>
      </c>
      <c r="AV4" s="45" t="s">
        <v>20</v>
      </c>
      <c r="AW4" s="45" t="s">
        <v>21</v>
      </c>
      <c r="AX4" s="174"/>
      <c r="AY4" s="173"/>
    </row>
    <row r="5" spans="1:52" s="11" customFormat="1" ht="146.25" customHeight="1" x14ac:dyDescent="0.25">
      <c r="A5" s="109" t="s">
        <v>300</v>
      </c>
      <c r="B5" s="109" t="s">
        <v>23</v>
      </c>
      <c r="C5" s="109" t="s">
        <v>299</v>
      </c>
      <c r="D5" s="109" t="s">
        <v>24</v>
      </c>
      <c r="E5" s="129" t="s">
        <v>29</v>
      </c>
      <c r="F5" s="130" t="s">
        <v>239</v>
      </c>
      <c r="G5" s="244">
        <v>0.73950000000000005</v>
      </c>
      <c r="H5" s="135">
        <f>+((73.95-66.91)/(74-66.91))</f>
        <v>0.99294781382228536</v>
      </c>
      <c r="I5" s="152" t="s">
        <v>41</v>
      </c>
      <c r="J5" s="5" t="s">
        <v>64</v>
      </c>
      <c r="K5" s="245">
        <v>1</v>
      </c>
      <c r="L5" s="48">
        <v>0</v>
      </c>
      <c r="M5" s="15">
        <f>0+0.08</f>
        <v>0.08</v>
      </c>
      <c r="N5" s="48">
        <v>0</v>
      </c>
      <c r="O5" s="48">
        <v>0.15</v>
      </c>
      <c r="P5" s="48">
        <v>0.4</v>
      </c>
      <c r="Q5" s="48">
        <v>0.45</v>
      </c>
      <c r="R5" s="48">
        <v>0</v>
      </c>
      <c r="S5" s="48">
        <v>0</v>
      </c>
      <c r="T5" s="48">
        <v>0</v>
      </c>
      <c r="U5" s="48">
        <v>0</v>
      </c>
      <c r="V5" s="48">
        <f>SUM(R5:U5)</f>
        <v>0</v>
      </c>
      <c r="W5" s="75">
        <f>+(V5+M5)/K5</f>
        <v>0.08</v>
      </c>
      <c r="X5" s="246">
        <f>AVERAGE(W5:W8)</f>
        <v>0.60239224137931036</v>
      </c>
      <c r="Y5" s="246">
        <f>AVERAGE(X5:X21)</f>
        <v>0.8402992153735388</v>
      </c>
      <c r="Z5" s="152" t="s">
        <v>41</v>
      </c>
      <c r="AA5" s="48">
        <v>0</v>
      </c>
      <c r="AB5" s="48">
        <v>0</v>
      </c>
      <c r="AC5" s="48">
        <v>0</v>
      </c>
      <c r="AD5" s="48">
        <v>0</v>
      </c>
      <c r="AE5" s="48">
        <f>SUM(AA5:AD5)</f>
        <v>0</v>
      </c>
      <c r="AF5" s="185">
        <f>+AE5/AL5</f>
        <v>0</v>
      </c>
      <c r="AG5" s="186">
        <f>AVERAGE(AF5:AF8)</f>
        <v>0.49602946804439346</v>
      </c>
      <c r="AH5" s="187">
        <f>AVERAGE(AG5:AG21)</f>
        <v>0.6740073007728733</v>
      </c>
      <c r="AI5" s="5" t="s">
        <v>64</v>
      </c>
      <c r="AJ5" s="23">
        <v>0</v>
      </c>
      <c r="AK5" s="24">
        <v>0.08</v>
      </c>
      <c r="AL5" s="3">
        <f>+(0.15-0.08)+0.4</f>
        <v>0.47000000000000003</v>
      </c>
      <c r="AM5" s="74" t="s">
        <v>203</v>
      </c>
      <c r="AN5" s="10" t="s">
        <v>183</v>
      </c>
      <c r="AO5" s="188" t="s">
        <v>337</v>
      </c>
      <c r="AP5" s="188" t="s">
        <v>285</v>
      </c>
      <c r="AQ5" s="189">
        <v>58253444695</v>
      </c>
      <c r="AR5" s="189">
        <v>58198728503.910004</v>
      </c>
      <c r="AS5" s="190">
        <f>+((AR5+AR6+AR7+AR8+AR9+AR10+AR11+AR13+AR15+AR17+AR19)/(AQ5+AQ6+AQ7+AQ8+AQ9+AQ10+AQ11+AQ13+AQ15+AQ17+AQ19))</f>
        <v>0.9712017763524593</v>
      </c>
      <c r="AT5" s="87" t="s">
        <v>204</v>
      </c>
      <c r="AU5" s="159" t="s">
        <v>205</v>
      </c>
      <c r="AV5" s="191">
        <v>623275778</v>
      </c>
      <c r="AW5" s="191">
        <v>623275777</v>
      </c>
      <c r="AX5" s="175" t="s">
        <v>259</v>
      </c>
      <c r="AY5" s="176" t="s">
        <v>259</v>
      </c>
      <c r="AZ5" s="247"/>
    </row>
    <row r="6" spans="1:52" ht="102.75" customHeight="1" x14ac:dyDescent="0.2">
      <c r="A6" s="110"/>
      <c r="B6" s="110"/>
      <c r="C6" s="110"/>
      <c r="D6" s="110"/>
      <c r="E6" s="105"/>
      <c r="F6" s="131"/>
      <c r="G6" s="248"/>
      <c r="H6" s="122"/>
      <c r="I6" s="127"/>
      <c r="J6" s="5" t="s">
        <v>65</v>
      </c>
      <c r="K6" s="245">
        <v>80</v>
      </c>
      <c r="L6" s="1">
        <v>0</v>
      </c>
      <c r="M6" s="16">
        <f>0+0</f>
        <v>0</v>
      </c>
      <c r="N6" s="1">
        <v>5</v>
      </c>
      <c r="O6" s="1">
        <v>20</v>
      </c>
      <c r="P6" s="1">
        <v>15</v>
      </c>
      <c r="Q6" s="1">
        <v>40</v>
      </c>
      <c r="R6" s="1">
        <v>0</v>
      </c>
      <c r="S6" s="1">
        <v>0</v>
      </c>
      <c r="T6" s="1">
        <v>99</v>
      </c>
      <c r="U6" s="48">
        <v>0</v>
      </c>
      <c r="V6" s="1">
        <f t="shared" ref="V6:V67" si="0">SUM(R6:U6)</f>
        <v>99</v>
      </c>
      <c r="W6" s="75">
        <f>+(V6+M6)/K6</f>
        <v>1.2375</v>
      </c>
      <c r="X6" s="166"/>
      <c r="Y6" s="166"/>
      <c r="Z6" s="127"/>
      <c r="AA6" s="1">
        <v>0</v>
      </c>
      <c r="AB6" s="1">
        <v>0</v>
      </c>
      <c r="AC6" s="1">
        <v>99</v>
      </c>
      <c r="AD6" s="48">
        <v>0</v>
      </c>
      <c r="AE6" s="48">
        <f>SUM(AA6:AC6)</f>
        <v>99</v>
      </c>
      <c r="AF6" s="185">
        <v>1</v>
      </c>
      <c r="AG6" s="192"/>
      <c r="AH6" s="193"/>
      <c r="AI6" s="5" t="s">
        <v>129</v>
      </c>
      <c r="AJ6" s="23">
        <v>0</v>
      </c>
      <c r="AK6" s="25">
        <v>0</v>
      </c>
      <c r="AL6" s="1">
        <f>5+20+15</f>
        <v>40</v>
      </c>
      <c r="AM6" s="74" t="s">
        <v>203</v>
      </c>
      <c r="AN6" s="10" t="s">
        <v>212</v>
      </c>
      <c r="AO6" s="194" t="s">
        <v>335</v>
      </c>
      <c r="AP6" s="194" t="s">
        <v>334</v>
      </c>
      <c r="AQ6" s="195">
        <v>7865641770</v>
      </c>
      <c r="AR6" s="195">
        <v>0</v>
      </c>
      <c r="AS6" s="196"/>
      <c r="AT6" s="87"/>
      <c r="AU6" s="159"/>
      <c r="AV6" s="191"/>
      <c r="AW6" s="191"/>
      <c r="AX6" s="177" t="s">
        <v>270</v>
      </c>
      <c r="AY6" s="178" t="s">
        <v>304</v>
      </c>
      <c r="AZ6" s="249"/>
    </row>
    <row r="7" spans="1:52" ht="87.75" customHeight="1" x14ac:dyDescent="0.2">
      <c r="A7" s="110"/>
      <c r="B7" s="110"/>
      <c r="C7" s="110"/>
      <c r="D7" s="110"/>
      <c r="E7" s="104" t="s">
        <v>30</v>
      </c>
      <c r="F7" s="101">
        <v>0.55000000000000004</v>
      </c>
      <c r="G7" s="250">
        <v>0.55469999999999997</v>
      </c>
      <c r="H7" s="121">
        <f>+((55.47-55)/(59-55))</f>
        <v>0.11749999999999972</v>
      </c>
      <c r="I7" s="127"/>
      <c r="J7" s="5" t="s">
        <v>66</v>
      </c>
      <c r="K7" s="245">
        <v>14500</v>
      </c>
      <c r="L7" s="1">
        <v>12850</v>
      </c>
      <c r="M7" s="16">
        <v>12411</v>
      </c>
      <c r="N7" s="1">
        <v>13000</v>
      </c>
      <c r="O7" s="1">
        <v>13200</v>
      </c>
      <c r="P7" s="1">
        <v>13400</v>
      </c>
      <c r="Q7" s="1">
        <v>14500</v>
      </c>
      <c r="R7" s="43">
        <v>12681</v>
      </c>
      <c r="S7" s="43">
        <v>12827</v>
      </c>
      <c r="T7" s="43">
        <v>12677</v>
      </c>
      <c r="U7" s="48">
        <v>12500</v>
      </c>
      <c r="V7" s="251">
        <f>+U7/K7</f>
        <v>0.86206896551724133</v>
      </c>
      <c r="W7" s="75">
        <f>+V7</f>
        <v>0.86206896551724133</v>
      </c>
      <c r="X7" s="166"/>
      <c r="Y7" s="166"/>
      <c r="Z7" s="127"/>
      <c r="AA7" s="43">
        <v>12681</v>
      </c>
      <c r="AB7" s="43">
        <v>12827</v>
      </c>
      <c r="AC7" s="43">
        <v>12677</v>
      </c>
      <c r="AD7" s="48">
        <v>12500</v>
      </c>
      <c r="AE7" s="197">
        <v>12500</v>
      </c>
      <c r="AF7" s="185">
        <f t="shared" ref="AF7:AF8" si="1">+AE7/AL7</f>
        <v>0.93283582089552242</v>
      </c>
      <c r="AG7" s="192"/>
      <c r="AH7" s="193"/>
      <c r="AI7" s="5" t="s">
        <v>130</v>
      </c>
      <c r="AJ7" s="23">
        <v>11525</v>
      </c>
      <c r="AK7" s="25">
        <v>12411</v>
      </c>
      <c r="AL7" s="1">
        <v>13400</v>
      </c>
      <c r="AM7" s="74" t="s">
        <v>203</v>
      </c>
      <c r="AN7" s="10" t="s">
        <v>184</v>
      </c>
      <c r="AO7" s="194" t="s">
        <v>338</v>
      </c>
      <c r="AP7" s="194" t="s">
        <v>336</v>
      </c>
      <c r="AQ7" s="195">
        <v>3224888920</v>
      </c>
      <c r="AR7" s="195">
        <v>3206370361</v>
      </c>
      <c r="AS7" s="196"/>
      <c r="AT7" s="87"/>
      <c r="AU7" s="159"/>
      <c r="AV7" s="191"/>
      <c r="AW7" s="191"/>
      <c r="AX7" s="36" t="s">
        <v>264</v>
      </c>
      <c r="AY7" s="179" t="s">
        <v>264</v>
      </c>
      <c r="AZ7" s="249"/>
    </row>
    <row r="8" spans="1:52" ht="90" customHeight="1" x14ac:dyDescent="0.2">
      <c r="A8" s="110"/>
      <c r="B8" s="110"/>
      <c r="C8" s="110"/>
      <c r="D8" s="110"/>
      <c r="E8" s="105"/>
      <c r="F8" s="103"/>
      <c r="G8" s="248"/>
      <c r="H8" s="122"/>
      <c r="I8" s="128"/>
      <c r="J8" s="34" t="s">
        <v>67</v>
      </c>
      <c r="K8" s="245">
        <v>100</v>
      </c>
      <c r="L8" s="1">
        <v>0</v>
      </c>
      <c r="M8" s="16">
        <f>16+5</f>
        <v>21</v>
      </c>
      <c r="N8" s="1">
        <v>10</v>
      </c>
      <c r="O8" s="1">
        <v>20</v>
      </c>
      <c r="P8" s="1">
        <v>30</v>
      </c>
      <c r="Q8" s="1">
        <v>40</v>
      </c>
      <c r="R8" s="1">
        <v>2</v>
      </c>
      <c r="S8" s="1">
        <v>0</v>
      </c>
      <c r="T8" s="1">
        <v>0</v>
      </c>
      <c r="U8" s="48">
        <v>0</v>
      </c>
      <c r="V8" s="1">
        <f t="shared" si="0"/>
        <v>2</v>
      </c>
      <c r="W8" s="75">
        <f>+(V8+M8)/K8</f>
        <v>0.23</v>
      </c>
      <c r="X8" s="167"/>
      <c r="Y8" s="166"/>
      <c r="Z8" s="128"/>
      <c r="AA8" s="1">
        <v>2</v>
      </c>
      <c r="AB8" s="1">
        <v>0</v>
      </c>
      <c r="AC8" s="1">
        <v>0</v>
      </c>
      <c r="AD8" s="48">
        <v>0</v>
      </c>
      <c r="AE8" s="48">
        <f>SUM(AA8:AD8)</f>
        <v>2</v>
      </c>
      <c r="AF8" s="185">
        <f t="shared" si="1"/>
        <v>5.128205128205128E-2</v>
      </c>
      <c r="AG8" s="198"/>
      <c r="AH8" s="193"/>
      <c r="AI8" s="5" t="s">
        <v>131</v>
      </c>
      <c r="AJ8" s="23">
        <v>5</v>
      </c>
      <c r="AK8" s="25">
        <v>16</v>
      </c>
      <c r="AL8" s="1">
        <f>(10-5)+(20-16)+30</f>
        <v>39</v>
      </c>
      <c r="AM8" s="74" t="s">
        <v>203</v>
      </c>
      <c r="AN8" s="10" t="s">
        <v>185</v>
      </c>
      <c r="AO8" s="199" t="s">
        <v>340</v>
      </c>
      <c r="AP8" s="199" t="s">
        <v>339</v>
      </c>
      <c r="AQ8" s="195">
        <v>363279205</v>
      </c>
      <c r="AR8" s="195">
        <v>363279205</v>
      </c>
      <c r="AS8" s="196"/>
      <c r="AT8" s="88"/>
      <c r="AU8" s="160"/>
      <c r="AV8" s="200"/>
      <c r="AW8" s="200"/>
      <c r="AX8" s="36" t="s">
        <v>271</v>
      </c>
      <c r="AY8" s="179" t="s">
        <v>361</v>
      </c>
      <c r="AZ8" s="249"/>
    </row>
    <row r="9" spans="1:52" ht="96.75" customHeight="1" x14ac:dyDescent="0.2">
      <c r="A9" s="110"/>
      <c r="B9" s="110"/>
      <c r="C9" s="110"/>
      <c r="D9" s="110"/>
      <c r="E9" s="104" t="s">
        <v>31</v>
      </c>
      <c r="F9" s="118">
        <v>4.9500000000000002E-2</v>
      </c>
      <c r="G9" s="252">
        <v>4.07E-2</v>
      </c>
      <c r="H9" s="123">
        <f>+((4.95-4.07)/(4.95-3.7))</f>
        <v>0.70399999999999996</v>
      </c>
      <c r="I9" s="104" t="s">
        <v>42</v>
      </c>
      <c r="J9" s="104" t="s">
        <v>68</v>
      </c>
      <c r="K9" s="253">
        <v>21700</v>
      </c>
      <c r="L9" s="254">
        <v>20500</v>
      </c>
      <c r="M9" s="255">
        <v>20145</v>
      </c>
      <c r="N9" s="254">
        <v>20600</v>
      </c>
      <c r="O9" s="254">
        <v>20900</v>
      </c>
      <c r="P9" s="254">
        <v>21300</v>
      </c>
      <c r="Q9" s="254">
        <v>21700</v>
      </c>
      <c r="R9" s="153">
        <v>20299</v>
      </c>
      <c r="S9" s="153">
        <v>20170</v>
      </c>
      <c r="T9" s="153">
        <v>19910</v>
      </c>
      <c r="U9" s="153">
        <v>19804</v>
      </c>
      <c r="V9" s="256">
        <f>+U9</f>
        <v>19804</v>
      </c>
      <c r="W9" s="80">
        <f>+V9/K9</f>
        <v>0.91262672811059908</v>
      </c>
      <c r="X9" s="257">
        <f>+W9</f>
        <v>0.91262672811059908</v>
      </c>
      <c r="Y9" s="166"/>
      <c r="Z9" s="35" t="s">
        <v>42</v>
      </c>
      <c r="AA9" s="44">
        <v>20299</v>
      </c>
      <c r="AB9" s="44">
        <v>20170</v>
      </c>
      <c r="AC9" s="44">
        <v>19910</v>
      </c>
      <c r="AD9" s="48">
        <v>19804</v>
      </c>
      <c r="AE9" s="44">
        <v>19804</v>
      </c>
      <c r="AF9" s="201">
        <f>+AE9/AL9</f>
        <v>0.92976525821596245</v>
      </c>
      <c r="AG9" s="202">
        <f>AVERAGE(AF9:AF10)</f>
        <v>0.96488262910798128</v>
      </c>
      <c r="AH9" s="193"/>
      <c r="AI9" s="5" t="s">
        <v>132</v>
      </c>
      <c r="AJ9" s="23">
        <v>19898</v>
      </c>
      <c r="AK9" s="25">
        <v>20145</v>
      </c>
      <c r="AL9" s="1">
        <v>21300</v>
      </c>
      <c r="AM9" s="74" t="s">
        <v>203</v>
      </c>
      <c r="AN9" s="10" t="s">
        <v>187</v>
      </c>
      <c r="AO9" s="203" t="s">
        <v>341</v>
      </c>
      <c r="AP9" s="203" t="s">
        <v>290</v>
      </c>
      <c r="AQ9" s="195">
        <v>381668058121.13</v>
      </c>
      <c r="AR9" s="195">
        <v>377573032609.20007</v>
      </c>
      <c r="AS9" s="196"/>
      <c r="AT9" s="204" t="s">
        <v>204</v>
      </c>
      <c r="AU9" s="205" t="s">
        <v>205</v>
      </c>
      <c r="AV9" s="37">
        <v>69658821382</v>
      </c>
      <c r="AW9" s="38">
        <v>69644024700</v>
      </c>
      <c r="AX9" s="36" t="s">
        <v>272</v>
      </c>
      <c r="AY9" s="179" t="s">
        <v>305</v>
      </c>
      <c r="AZ9" s="249"/>
    </row>
    <row r="10" spans="1:52" ht="85.5" customHeight="1" x14ac:dyDescent="0.2">
      <c r="A10" s="110"/>
      <c r="B10" s="110"/>
      <c r="C10" s="110"/>
      <c r="D10" s="110"/>
      <c r="E10" s="106"/>
      <c r="F10" s="119"/>
      <c r="G10" s="258"/>
      <c r="H10" s="124"/>
      <c r="I10" s="105"/>
      <c r="J10" s="105"/>
      <c r="K10" s="259"/>
      <c r="L10" s="260"/>
      <c r="M10" s="261"/>
      <c r="N10" s="260"/>
      <c r="O10" s="260"/>
      <c r="P10" s="260"/>
      <c r="Q10" s="260"/>
      <c r="R10" s="154"/>
      <c r="S10" s="154"/>
      <c r="T10" s="154"/>
      <c r="U10" s="154"/>
      <c r="V10" s="260"/>
      <c r="W10" s="81"/>
      <c r="X10" s="262"/>
      <c r="Y10" s="166"/>
      <c r="Z10" s="35" t="s">
        <v>124</v>
      </c>
      <c r="AA10" s="1">
        <v>104</v>
      </c>
      <c r="AB10" s="1">
        <v>104</v>
      </c>
      <c r="AC10" s="1">
        <v>104</v>
      </c>
      <c r="AD10" s="48">
        <v>104</v>
      </c>
      <c r="AE10" s="48">
        <f>+AC10</f>
        <v>104</v>
      </c>
      <c r="AF10" s="201">
        <f>+AE10/AL10</f>
        <v>1</v>
      </c>
      <c r="AG10" s="206"/>
      <c r="AH10" s="193"/>
      <c r="AI10" s="5" t="s">
        <v>133</v>
      </c>
      <c r="AJ10" s="23">
        <v>103</v>
      </c>
      <c r="AK10" s="26">
        <v>104</v>
      </c>
      <c r="AL10" s="1">
        <v>104</v>
      </c>
      <c r="AM10" s="74" t="s">
        <v>203</v>
      </c>
      <c r="AN10" s="10" t="s">
        <v>187</v>
      </c>
      <c r="AO10" s="207" t="s">
        <v>343</v>
      </c>
      <c r="AP10" s="207" t="s">
        <v>342</v>
      </c>
      <c r="AQ10" s="195">
        <v>2764611219</v>
      </c>
      <c r="AR10" s="195">
        <v>2500000000</v>
      </c>
      <c r="AS10" s="196"/>
      <c r="AT10" s="204" t="s">
        <v>204</v>
      </c>
      <c r="AU10" s="205" t="s">
        <v>205</v>
      </c>
      <c r="AV10" s="41">
        <v>353114956083.71997</v>
      </c>
      <c r="AW10" s="208">
        <v>349697727939.21002</v>
      </c>
      <c r="AX10" s="36" t="s">
        <v>233</v>
      </c>
      <c r="AY10" s="179" t="s">
        <v>306</v>
      </c>
      <c r="AZ10" s="249"/>
    </row>
    <row r="11" spans="1:52" ht="187.5" customHeight="1" x14ac:dyDescent="0.2">
      <c r="A11" s="110"/>
      <c r="B11" s="110"/>
      <c r="C11" s="110"/>
      <c r="D11" s="110"/>
      <c r="E11" s="105"/>
      <c r="F11" s="120"/>
      <c r="G11" s="263"/>
      <c r="H11" s="125"/>
      <c r="I11" s="126" t="s">
        <v>43</v>
      </c>
      <c r="J11" s="5" t="s">
        <v>219</v>
      </c>
      <c r="K11" s="245">
        <v>77000</v>
      </c>
      <c r="L11" s="1">
        <v>76200</v>
      </c>
      <c r="M11" s="16">
        <f>+AK11</f>
        <v>91373</v>
      </c>
      <c r="N11" s="1">
        <v>76300</v>
      </c>
      <c r="O11" s="1">
        <v>76500</v>
      </c>
      <c r="P11" s="1">
        <v>76750</v>
      </c>
      <c r="Q11" s="1">
        <v>77000</v>
      </c>
      <c r="R11" s="1">
        <v>0</v>
      </c>
      <c r="S11" s="1">
        <v>0</v>
      </c>
      <c r="T11" s="1">
        <v>98914</v>
      </c>
      <c r="U11" s="1">
        <v>94630</v>
      </c>
      <c r="V11" s="1">
        <f>+U11</f>
        <v>94630</v>
      </c>
      <c r="W11" s="251">
        <v>1</v>
      </c>
      <c r="X11" s="165">
        <f>AVERAGE(W11:W14)</f>
        <v>0.98652499999999999</v>
      </c>
      <c r="Y11" s="166"/>
      <c r="Z11" s="35" t="s">
        <v>125</v>
      </c>
      <c r="AA11" s="1">
        <v>0</v>
      </c>
      <c r="AB11" s="1">
        <v>0</v>
      </c>
      <c r="AC11" s="1">
        <v>98914</v>
      </c>
      <c r="AD11" s="1">
        <v>94630</v>
      </c>
      <c r="AE11" s="48">
        <v>94630</v>
      </c>
      <c r="AF11" s="185">
        <v>1</v>
      </c>
      <c r="AG11" s="209">
        <f>AVERAGE(AF11:AF14)</f>
        <v>0.89281250000000001</v>
      </c>
      <c r="AH11" s="193"/>
      <c r="AI11" s="5" t="s">
        <v>222</v>
      </c>
      <c r="AJ11" s="23">
        <v>81825</v>
      </c>
      <c r="AK11" s="25">
        <v>91373</v>
      </c>
      <c r="AL11" s="1">
        <v>76750</v>
      </c>
      <c r="AM11" s="74" t="s">
        <v>203</v>
      </c>
      <c r="AN11" s="10" t="s">
        <v>186</v>
      </c>
      <c r="AO11" s="210" t="s">
        <v>345</v>
      </c>
      <c r="AP11" s="210" t="s">
        <v>344</v>
      </c>
      <c r="AQ11" s="211">
        <v>38780938</v>
      </c>
      <c r="AR11" s="211">
        <v>0</v>
      </c>
      <c r="AS11" s="196"/>
      <c r="AT11" s="204" t="s">
        <v>204</v>
      </c>
      <c r="AU11" s="205" t="s">
        <v>205</v>
      </c>
      <c r="AV11" s="42">
        <v>37866811483.68</v>
      </c>
      <c r="AW11" s="42">
        <v>33697777557.68</v>
      </c>
      <c r="AX11" s="36" t="s">
        <v>273</v>
      </c>
      <c r="AY11" s="179" t="s">
        <v>307</v>
      </c>
      <c r="AZ11" s="249"/>
    </row>
    <row r="12" spans="1:52" ht="105" customHeight="1" x14ac:dyDescent="0.2">
      <c r="A12" s="110"/>
      <c r="B12" s="110"/>
      <c r="C12" s="110"/>
      <c r="D12" s="110"/>
      <c r="E12" s="104" t="s">
        <v>32</v>
      </c>
      <c r="F12" s="118">
        <v>2.7300000000000001E-2</v>
      </c>
      <c r="G12" s="252">
        <v>2.75E-2</v>
      </c>
      <c r="H12" s="123">
        <f>+((2.73-2.75)/(2.73-1.5))</f>
        <v>-1.6260162601626032E-2</v>
      </c>
      <c r="I12" s="127"/>
      <c r="J12" s="5" t="s">
        <v>69</v>
      </c>
      <c r="K12" s="245">
        <v>4000</v>
      </c>
      <c r="L12" s="1">
        <v>3700</v>
      </c>
      <c r="M12" s="16">
        <v>6148</v>
      </c>
      <c r="N12" s="1">
        <v>3750</v>
      </c>
      <c r="O12" s="1">
        <v>3800</v>
      </c>
      <c r="P12" s="1">
        <v>3850</v>
      </c>
      <c r="Q12" s="1">
        <v>4000</v>
      </c>
      <c r="R12" s="1">
        <v>268</v>
      </c>
      <c r="S12" s="43">
        <v>3901</v>
      </c>
      <c r="T12" s="43">
        <v>3942</v>
      </c>
      <c r="U12" s="48">
        <v>0</v>
      </c>
      <c r="V12" s="43">
        <f>+T12</f>
        <v>3942</v>
      </c>
      <c r="W12" s="251">
        <f>+V12/K12</f>
        <v>0.98550000000000004</v>
      </c>
      <c r="X12" s="166"/>
      <c r="Y12" s="166"/>
      <c r="Z12" s="35" t="s">
        <v>126</v>
      </c>
      <c r="AA12" s="1">
        <v>268</v>
      </c>
      <c r="AB12" s="43">
        <v>3901</v>
      </c>
      <c r="AC12" s="43">
        <v>3942</v>
      </c>
      <c r="AD12" s="43">
        <v>0</v>
      </c>
      <c r="AE12" s="197">
        <f>+AC12</f>
        <v>3942</v>
      </c>
      <c r="AF12" s="185">
        <v>1</v>
      </c>
      <c r="AG12" s="192"/>
      <c r="AH12" s="193"/>
      <c r="AI12" s="5" t="s">
        <v>134</v>
      </c>
      <c r="AJ12" s="32">
        <v>4469</v>
      </c>
      <c r="AK12" s="25">
        <v>6148</v>
      </c>
      <c r="AL12" s="1">
        <v>3850</v>
      </c>
      <c r="AM12" s="74" t="s">
        <v>203</v>
      </c>
      <c r="AN12" s="10" t="s">
        <v>188</v>
      </c>
      <c r="AO12" s="210"/>
      <c r="AP12" s="210"/>
      <c r="AQ12" s="211"/>
      <c r="AR12" s="211"/>
      <c r="AS12" s="196"/>
      <c r="AT12" s="204" t="s">
        <v>204</v>
      </c>
      <c r="AU12" s="205" t="s">
        <v>206</v>
      </c>
      <c r="AV12" s="208">
        <v>4985037242</v>
      </c>
      <c r="AW12" s="50">
        <v>4984964717</v>
      </c>
      <c r="AX12" s="36" t="s">
        <v>257</v>
      </c>
      <c r="AY12" s="179" t="s">
        <v>308</v>
      </c>
      <c r="AZ12" s="249"/>
    </row>
    <row r="13" spans="1:52" ht="138" customHeight="1" x14ac:dyDescent="0.2">
      <c r="A13" s="110"/>
      <c r="B13" s="110"/>
      <c r="C13" s="110"/>
      <c r="D13" s="110"/>
      <c r="E13" s="105"/>
      <c r="F13" s="120"/>
      <c r="G13" s="263"/>
      <c r="H13" s="125"/>
      <c r="I13" s="127"/>
      <c r="J13" s="5" t="s">
        <v>70</v>
      </c>
      <c r="K13" s="245">
        <v>5000</v>
      </c>
      <c r="L13" s="1">
        <v>2600</v>
      </c>
      <c r="M13" s="16">
        <v>2441</v>
      </c>
      <c r="N13" s="1">
        <v>2700</v>
      </c>
      <c r="O13" s="1">
        <v>2900</v>
      </c>
      <c r="P13" s="1">
        <v>3200</v>
      </c>
      <c r="Q13" s="1">
        <v>5000</v>
      </c>
      <c r="R13" s="1">
        <v>250</v>
      </c>
      <c r="S13" s="1">
        <v>275</v>
      </c>
      <c r="T13" s="1">
        <f>266+1571</f>
        <v>1837</v>
      </c>
      <c r="U13" s="1">
        <v>0</v>
      </c>
      <c r="V13" s="1">
        <f t="shared" si="0"/>
        <v>2362</v>
      </c>
      <c r="W13" s="251">
        <f t="shared" ref="W13:W67" si="2">+(V13+M13)/K13</f>
        <v>0.96060000000000001</v>
      </c>
      <c r="X13" s="166"/>
      <c r="Y13" s="166"/>
      <c r="Z13" s="104" t="s">
        <v>127</v>
      </c>
      <c r="AA13" s="1">
        <v>250</v>
      </c>
      <c r="AB13" s="1">
        <v>275</v>
      </c>
      <c r="AC13" s="1">
        <v>266</v>
      </c>
      <c r="AD13" s="1">
        <f>257+1571</f>
        <v>1828</v>
      </c>
      <c r="AE13" s="1">
        <v>1828</v>
      </c>
      <c r="AF13" s="185">
        <f>+AE13/AL13</f>
        <v>0.57125000000000004</v>
      </c>
      <c r="AG13" s="192"/>
      <c r="AH13" s="193"/>
      <c r="AI13" s="5" t="s">
        <v>135</v>
      </c>
      <c r="AJ13" s="23">
        <v>2220</v>
      </c>
      <c r="AK13" s="25">
        <v>221</v>
      </c>
      <c r="AL13" s="1">
        <v>3200</v>
      </c>
      <c r="AM13" s="74" t="s">
        <v>203</v>
      </c>
      <c r="AN13" s="10" t="s">
        <v>187</v>
      </c>
      <c r="AO13" s="212" t="s">
        <v>347</v>
      </c>
      <c r="AP13" s="210" t="s">
        <v>346</v>
      </c>
      <c r="AQ13" s="211">
        <v>1917911680</v>
      </c>
      <c r="AR13" s="211">
        <v>754262910</v>
      </c>
      <c r="AS13" s="196"/>
      <c r="AT13" s="213" t="s">
        <v>204</v>
      </c>
      <c r="AU13" s="213" t="s">
        <v>206</v>
      </c>
      <c r="AV13" s="214">
        <v>1</v>
      </c>
      <c r="AW13" s="213">
        <v>0</v>
      </c>
      <c r="AX13" s="36" t="s">
        <v>417</v>
      </c>
      <c r="AY13" s="36" t="s">
        <v>418</v>
      </c>
      <c r="AZ13" s="249"/>
    </row>
    <row r="14" spans="1:52" ht="205.5" customHeight="1" x14ac:dyDescent="0.2">
      <c r="A14" s="110"/>
      <c r="B14" s="110"/>
      <c r="C14" s="110"/>
      <c r="D14" s="110"/>
      <c r="E14" s="92"/>
      <c r="F14" s="93"/>
      <c r="G14" s="93"/>
      <c r="H14" s="94"/>
      <c r="I14" s="128"/>
      <c r="J14" s="5" t="s">
        <v>71</v>
      </c>
      <c r="K14" s="245">
        <v>1</v>
      </c>
      <c r="L14" s="1">
        <v>0</v>
      </c>
      <c r="M14" s="17">
        <f>0+0.8</f>
        <v>0.8</v>
      </c>
      <c r="N14" s="1">
        <v>0</v>
      </c>
      <c r="O14" s="1">
        <v>0.3</v>
      </c>
      <c r="P14" s="1">
        <v>0.3</v>
      </c>
      <c r="Q14" s="1">
        <v>0.4</v>
      </c>
      <c r="R14" s="264">
        <v>0.2</v>
      </c>
      <c r="S14" s="1">
        <v>0</v>
      </c>
      <c r="T14" s="4">
        <v>0</v>
      </c>
      <c r="U14" s="48">
        <v>0</v>
      </c>
      <c r="V14" s="1">
        <f t="shared" si="0"/>
        <v>0.2</v>
      </c>
      <c r="W14" s="251">
        <f t="shared" si="2"/>
        <v>1</v>
      </c>
      <c r="X14" s="167"/>
      <c r="Y14" s="166"/>
      <c r="Z14" s="105"/>
      <c r="AA14" s="1">
        <v>0.2</v>
      </c>
      <c r="AB14" s="1">
        <v>0</v>
      </c>
      <c r="AC14" s="4">
        <v>0</v>
      </c>
      <c r="AD14" s="48">
        <v>0</v>
      </c>
      <c r="AE14" s="215">
        <f>+AA14+AB14+AC14+AD14</f>
        <v>0.2</v>
      </c>
      <c r="AF14" s="185">
        <f>+AE14/AL14</f>
        <v>1.0000000000000002</v>
      </c>
      <c r="AG14" s="198"/>
      <c r="AH14" s="193"/>
      <c r="AI14" s="5" t="s">
        <v>136</v>
      </c>
      <c r="AJ14" s="23">
        <v>0</v>
      </c>
      <c r="AK14" s="27">
        <v>0.8</v>
      </c>
      <c r="AL14" s="1">
        <f>+(1-0.8)</f>
        <v>0.19999999999999996</v>
      </c>
      <c r="AM14" s="74" t="s">
        <v>203</v>
      </c>
      <c r="AN14" s="10" t="s">
        <v>187</v>
      </c>
      <c r="AO14" s="212"/>
      <c r="AP14" s="210"/>
      <c r="AQ14" s="211"/>
      <c r="AR14" s="211"/>
      <c r="AS14" s="196"/>
      <c r="AT14" s="216"/>
      <c r="AU14" s="216"/>
      <c r="AV14" s="200"/>
      <c r="AW14" s="216"/>
      <c r="AX14" s="36" t="s">
        <v>274</v>
      </c>
      <c r="AY14" s="179" t="s">
        <v>309</v>
      </c>
      <c r="AZ14" s="249"/>
    </row>
    <row r="15" spans="1:52" ht="90" customHeight="1" x14ac:dyDescent="0.2">
      <c r="A15" s="110"/>
      <c r="B15" s="110"/>
      <c r="C15" s="110"/>
      <c r="D15" s="110"/>
      <c r="E15" s="95"/>
      <c r="F15" s="96"/>
      <c r="G15" s="96"/>
      <c r="H15" s="97"/>
      <c r="I15" s="126" t="s">
        <v>44</v>
      </c>
      <c r="J15" s="34" t="s">
        <v>72</v>
      </c>
      <c r="K15" s="245">
        <v>4200</v>
      </c>
      <c r="L15" s="1">
        <v>3649</v>
      </c>
      <c r="M15" s="16">
        <v>4193</v>
      </c>
      <c r="N15" s="1">
        <v>3700</v>
      </c>
      <c r="O15" s="1">
        <v>3800</v>
      </c>
      <c r="P15" s="1">
        <v>3950</v>
      </c>
      <c r="Q15" s="1">
        <v>4200</v>
      </c>
      <c r="R15" s="43">
        <v>3423</v>
      </c>
      <c r="S15" s="43">
        <v>3694</v>
      </c>
      <c r="T15" s="43">
        <v>3694</v>
      </c>
      <c r="U15" s="48">
        <v>0</v>
      </c>
      <c r="V15" s="43">
        <f>+T15</f>
        <v>3694</v>
      </c>
      <c r="W15" s="251">
        <f>+V15/K15</f>
        <v>0.87952380952380949</v>
      </c>
      <c r="X15" s="165">
        <f>AVERAGE(W15:W18)</f>
        <v>0.9698809523809524</v>
      </c>
      <c r="Y15" s="166"/>
      <c r="Z15" s="126" t="s">
        <v>44</v>
      </c>
      <c r="AA15" s="43">
        <v>3423</v>
      </c>
      <c r="AB15" s="43">
        <v>3694</v>
      </c>
      <c r="AC15" s="43">
        <v>3694</v>
      </c>
      <c r="AD15" s="48">
        <v>0</v>
      </c>
      <c r="AE15" s="197">
        <f>+AC15</f>
        <v>3694</v>
      </c>
      <c r="AF15" s="185">
        <f>+AE15/AL15</f>
        <v>0.93518987341772153</v>
      </c>
      <c r="AG15" s="209">
        <f>AVERAGE(AF15:AF18)</f>
        <v>0.98379746835443038</v>
      </c>
      <c r="AH15" s="193"/>
      <c r="AI15" s="5" t="s">
        <v>137</v>
      </c>
      <c r="AJ15" s="32">
        <v>3881</v>
      </c>
      <c r="AK15" s="25">
        <v>4193</v>
      </c>
      <c r="AL15" s="1">
        <v>3950</v>
      </c>
      <c r="AM15" s="74" t="s">
        <v>203</v>
      </c>
      <c r="AN15" s="10" t="s">
        <v>189</v>
      </c>
      <c r="AO15" s="217" t="s">
        <v>349</v>
      </c>
      <c r="AP15" s="217" t="s">
        <v>348</v>
      </c>
      <c r="AQ15" s="218">
        <v>187910975</v>
      </c>
      <c r="AR15" s="218">
        <v>111405647</v>
      </c>
      <c r="AS15" s="196"/>
      <c r="AT15" s="213" t="s">
        <v>204</v>
      </c>
      <c r="AU15" s="213" t="s">
        <v>205</v>
      </c>
      <c r="AV15" s="219">
        <v>2323170506</v>
      </c>
      <c r="AW15" s="220">
        <v>2315573736</v>
      </c>
      <c r="AX15" s="36" t="s">
        <v>258</v>
      </c>
      <c r="AY15" s="179" t="s">
        <v>310</v>
      </c>
      <c r="AZ15" s="249"/>
    </row>
    <row r="16" spans="1:52" ht="180" customHeight="1" x14ac:dyDescent="0.2">
      <c r="A16" s="110"/>
      <c r="B16" s="110"/>
      <c r="C16" s="110"/>
      <c r="D16" s="110"/>
      <c r="E16" s="95"/>
      <c r="F16" s="96"/>
      <c r="G16" s="96"/>
      <c r="H16" s="97"/>
      <c r="I16" s="127"/>
      <c r="J16" s="5" t="s">
        <v>73</v>
      </c>
      <c r="K16" s="245">
        <v>5</v>
      </c>
      <c r="L16" s="1">
        <v>0</v>
      </c>
      <c r="M16" s="16">
        <v>0</v>
      </c>
      <c r="N16" s="1">
        <v>0</v>
      </c>
      <c r="O16" s="1">
        <v>0</v>
      </c>
      <c r="P16" s="1">
        <v>5</v>
      </c>
      <c r="Q16" s="1">
        <v>5</v>
      </c>
      <c r="R16" s="1">
        <v>5</v>
      </c>
      <c r="S16" s="1">
        <v>0</v>
      </c>
      <c r="T16" s="1">
        <v>0</v>
      </c>
      <c r="U16" s="48">
        <v>0</v>
      </c>
      <c r="V16" s="1">
        <f t="shared" si="0"/>
        <v>5</v>
      </c>
      <c r="W16" s="251">
        <f t="shared" si="2"/>
        <v>1</v>
      </c>
      <c r="X16" s="166"/>
      <c r="Y16" s="166"/>
      <c r="Z16" s="127"/>
      <c r="AA16" s="1">
        <v>5</v>
      </c>
      <c r="AB16" s="1">
        <v>0</v>
      </c>
      <c r="AC16" s="1">
        <v>0</v>
      </c>
      <c r="AD16" s="48">
        <v>0</v>
      </c>
      <c r="AE16" s="48">
        <f>+AC16+AA16</f>
        <v>5</v>
      </c>
      <c r="AF16" s="185">
        <f>+AE16/AL16</f>
        <v>1</v>
      </c>
      <c r="AG16" s="192"/>
      <c r="AH16" s="193"/>
      <c r="AI16" s="5" t="s">
        <v>138</v>
      </c>
      <c r="AJ16" s="23">
        <v>8</v>
      </c>
      <c r="AK16" s="25">
        <v>0</v>
      </c>
      <c r="AL16" s="1">
        <v>5</v>
      </c>
      <c r="AM16" s="74" t="s">
        <v>203</v>
      </c>
      <c r="AN16" s="10" t="s">
        <v>189</v>
      </c>
      <c r="AO16" s="221"/>
      <c r="AP16" s="221"/>
      <c r="AQ16" s="222"/>
      <c r="AR16" s="222"/>
      <c r="AS16" s="196"/>
      <c r="AT16" s="223"/>
      <c r="AU16" s="223"/>
      <c r="AV16" s="224"/>
      <c r="AW16" s="225"/>
      <c r="AX16" s="36" t="s">
        <v>217</v>
      </c>
      <c r="AY16" s="179" t="s">
        <v>217</v>
      </c>
      <c r="AZ16" s="249"/>
    </row>
    <row r="17" spans="1:53" s="30" customFormat="1" ht="249.75" customHeight="1" x14ac:dyDescent="0.2">
      <c r="A17" s="110"/>
      <c r="B17" s="110"/>
      <c r="C17" s="110"/>
      <c r="D17" s="110"/>
      <c r="E17" s="95"/>
      <c r="F17" s="96"/>
      <c r="G17" s="96"/>
      <c r="H17" s="97"/>
      <c r="I17" s="127"/>
      <c r="J17" s="34" t="s">
        <v>74</v>
      </c>
      <c r="K17" s="245">
        <v>800</v>
      </c>
      <c r="L17" s="1">
        <v>520</v>
      </c>
      <c r="M17" s="16">
        <f>363+0</f>
        <v>363</v>
      </c>
      <c r="N17" s="1">
        <v>550</v>
      </c>
      <c r="O17" s="1">
        <v>580</v>
      </c>
      <c r="P17" s="1">
        <v>620</v>
      </c>
      <c r="Q17" s="1">
        <v>800</v>
      </c>
      <c r="R17" s="43">
        <v>207</v>
      </c>
      <c r="S17" s="1">
        <v>162</v>
      </c>
      <c r="T17" s="43">
        <v>283</v>
      </c>
      <c r="U17" s="48">
        <v>188</v>
      </c>
      <c r="V17" s="1">
        <f t="shared" si="0"/>
        <v>840</v>
      </c>
      <c r="W17" s="251">
        <v>1</v>
      </c>
      <c r="X17" s="166"/>
      <c r="Y17" s="166"/>
      <c r="Z17" s="127"/>
      <c r="AA17" s="43">
        <v>207</v>
      </c>
      <c r="AB17" s="43">
        <v>162</v>
      </c>
      <c r="AC17" s="43">
        <v>283</v>
      </c>
      <c r="AD17" s="48">
        <v>188</v>
      </c>
      <c r="AE17" s="197">
        <f>AA17+AB17+AC17+AD17</f>
        <v>840</v>
      </c>
      <c r="AF17" s="185">
        <v>1</v>
      </c>
      <c r="AG17" s="192"/>
      <c r="AH17" s="193"/>
      <c r="AI17" s="5" t="s">
        <v>139</v>
      </c>
      <c r="AJ17" s="32">
        <v>363</v>
      </c>
      <c r="AK17" s="25">
        <v>0</v>
      </c>
      <c r="AL17" s="1">
        <v>620</v>
      </c>
      <c r="AM17" s="74" t="s">
        <v>203</v>
      </c>
      <c r="AN17" s="10" t="s">
        <v>189</v>
      </c>
      <c r="AO17" s="217" t="s">
        <v>351</v>
      </c>
      <c r="AP17" s="217" t="s">
        <v>350</v>
      </c>
      <c r="AQ17" s="218">
        <v>13817803862</v>
      </c>
      <c r="AR17" s="218">
        <v>13809455252.23</v>
      </c>
      <c r="AS17" s="196"/>
      <c r="AT17" s="223"/>
      <c r="AU17" s="223"/>
      <c r="AV17" s="224"/>
      <c r="AW17" s="225"/>
      <c r="AX17" s="36" t="s">
        <v>275</v>
      </c>
      <c r="AY17" s="179" t="s">
        <v>311</v>
      </c>
      <c r="AZ17" s="249"/>
    </row>
    <row r="18" spans="1:53" ht="156.75" customHeight="1" x14ac:dyDescent="0.2">
      <c r="A18" s="110"/>
      <c r="B18" s="110"/>
      <c r="C18" s="110"/>
      <c r="D18" s="110"/>
      <c r="E18" s="95"/>
      <c r="F18" s="96"/>
      <c r="G18" s="96"/>
      <c r="H18" s="97"/>
      <c r="I18" s="128"/>
      <c r="J18" s="34" t="s">
        <v>75</v>
      </c>
      <c r="K18" s="245">
        <v>12000</v>
      </c>
      <c r="L18" s="1">
        <v>7442</v>
      </c>
      <c r="M18" s="16">
        <v>18884</v>
      </c>
      <c r="N18" s="1">
        <v>7500</v>
      </c>
      <c r="O18" s="1">
        <v>8200</v>
      </c>
      <c r="P18" s="1">
        <v>9000</v>
      </c>
      <c r="Q18" s="1">
        <v>12000</v>
      </c>
      <c r="R18" s="43">
        <v>18888</v>
      </c>
      <c r="S18" s="43">
        <v>18888</v>
      </c>
      <c r="T18" s="49">
        <v>20353</v>
      </c>
      <c r="U18" s="48">
        <v>0</v>
      </c>
      <c r="V18" s="1">
        <f>+T18</f>
        <v>20353</v>
      </c>
      <c r="W18" s="251">
        <v>1</v>
      </c>
      <c r="X18" s="167"/>
      <c r="Y18" s="166"/>
      <c r="Z18" s="128"/>
      <c r="AA18" s="43">
        <v>18888</v>
      </c>
      <c r="AB18" s="43">
        <v>18888</v>
      </c>
      <c r="AC18" s="1">
        <v>20353</v>
      </c>
      <c r="AD18" s="1">
        <v>0</v>
      </c>
      <c r="AE18" s="43">
        <f>+AC18</f>
        <v>20353</v>
      </c>
      <c r="AF18" s="185">
        <v>1</v>
      </c>
      <c r="AG18" s="198"/>
      <c r="AH18" s="193"/>
      <c r="AI18" s="5" t="s">
        <v>140</v>
      </c>
      <c r="AJ18" s="23">
        <v>11580</v>
      </c>
      <c r="AK18" s="25">
        <v>18884</v>
      </c>
      <c r="AL18" s="1">
        <v>9000</v>
      </c>
      <c r="AM18" s="74" t="s">
        <v>203</v>
      </c>
      <c r="AN18" s="10" t="s">
        <v>189</v>
      </c>
      <c r="AO18" s="221"/>
      <c r="AP18" s="221"/>
      <c r="AQ18" s="222"/>
      <c r="AR18" s="222"/>
      <c r="AS18" s="196"/>
      <c r="AT18" s="216"/>
      <c r="AU18" s="216"/>
      <c r="AV18" s="226"/>
      <c r="AW18" s="227"/>
      <c r="AX18" s="175" t="s">
        <v>276</v>
      </c>
      <c r="AY18" s="176" t="s">
        <v>312</v>
      </c>
      <c r="AZ18" s="249"/>
      <c r="BA18" s="55">
        <f>486241243232-471872311053</f>
        <v>14368932179</v>
      </c>
    </row>
    <row r="19" spans="1:53" ht="130.5" customHeight="1" x14ac:dyDescent="0.2">
      <c r="A19" s="110"/>
      <c r="B19" s="110"/>
      <c r="C19" s="110"/>
      <c r="D19" s="110"/>
      <c r="E19" s="95"/>
      <c r="F19" s="96"/>
      <c r="G19" s="96"/>
      <c r="H19" s="97"/>
      <c r="I19" s="35" t="s">
        <v>45</v>
      </c>
      <c r="J19" s="34" t="s">
        <v>76</v>
      </c>
      <c r="K19" s="245">
        <v>800</v>
      </c>
      <c r="L19" s="1">
        <v>0</v>
      </c>
      <c r="M19" s="18">
        <f>1216+922</f>
        <v>2138</v>
      </c>
      <c r="N19" s="1">
        <v>100</v>
      </c>
      <c r="O19" s="1">
        <v>200</v>
      </c>
      <c r="P19" s="1">
        <v>200</v>
      </c>
      <c r="Q19" s="1">
        <v>300</v>
      </c>
      <c r="R19" s="1">
        <v>0</v>
      </c>
      <c r="S19" s="1">
        <v>0</v>
      </c>
      <c r="T19" s="1">
        <v>50</v>
      </c>
      <c r="U19" s="48">
        <v>0</v>
      </c>
      <c r="V19" s="1">
        <f t="shared" si="0"/>
        <v>50</v>
      </c>
      <c r="W19" s="251">
        <v>1</v>
      </c>
      <c r="X19" s="73">
        <f>+W19</f>
        <v>1</v>
      </c>
      <c r="Y19" s="166"/>
      <c r="Z19" s="35" t="s">
        <v>45</v>
      </c>
      <c r="AA19" s="1">
        <v>0</v>
      </c>
      <c r="AB19" s="1">
        <v>0</v>
      </c>
      <c r="AC19" s="48">
        <v>50</v>
      </c>
      <c r="AD19" s="48">
        <v>0</v>
      </c>
      <c r="AE19" s="48">
        <f>SUM(AA19:AC19)</f>
        <v>50</v>
      </c>
      <c r="AF19" s="185">
        <f>+AE19/AL19</f>
        <v>0.25</v>
      </c>
      <c r="AG19" s="185">
        <f>+AF19</f>
        <v>0.25</v>
      </c>
      <c r="AH19" s="193"/>
      <c r="AI19" s="5" t="s">
        <v>223</v>
      </c>
      <c r="AJ19" s="32">
        <v>1216</v>
      </c>
      <c r="AK19" s="28">
        <v>922</v>
      </c>
      <c r="AL19" s="1">
        <f>500-300</f>
        <v>200</v>
      </c>
      <c r="AM19" s="74" t="s">
        <v>203</v>
      </c>
      <c r="AN19" s="10" t="s">
        <v>189</v>
      </c>
      <c r="AO19" s="228" t="s">
        <v>353</v>
      </c>
      <c r="AP19" s="228" t="s">
        <v>352</v>
      </c>
      <c r="AQ19" s="218">
        <v>1769979668</v>
      </c>
      <c r="AR19" s="218">
        <v>1766692218</v>
      </c>
      <c r="AS19" s="196"/>
      <c r="AT19" s="205" t="s">
        <v>204</v>
      </c>
      <c r="AU19" s="205" t="s">
        <v>207</v>
      </c>
      <c r="AV19" s="208">
        <v>652728549.20000005</v>
      </c>
      <c r="AW19" s="42">
        <v>652728549.20000005</v>
      </c>
      <c r="AX19" s="36" t="s">
        <v>277</v>
      </c>
      <c r="AY19" s="179" t="s">
        <v>331</v>
      </c>
      <c r="AZ19" s="249"/>
    </row>
    <row r="20" spans="1:53" ht="90" customHeight="1" x14ac:dyDescent="0.2">
      <c r="A20" s="110"/>
      <c r="B20" s="110"/>
      <c r="C20" s="110"/>
      <c r="D20" s="110"/>
      <c r="E20" s="95"/>
      <c r="F20" s="96"/>
      <c r="G20" s="96"/>
      <c r="H20" s="97"/>
      <c r="I20" s="149" t="s">
        <v>46</v>
      </c>
      <c r="J20" s="34" t="s">
        <v>77</v>
      </c>
      <c r="K20" s="245">
        <v>1</v>
      </c>
      <c r="L20" s="1">
        <v>0</v>
      </c>
      <c r="M20" s="16">
        <f>0+0.3</f>
        <v>0.3</v>
      </c>
      <c r="N20" s="1">
        <v>0</v>
      </c>
      <c r="O20" s="1">
        <v>0.2</v>
      </c>
      <c r="P20" s="1">
        <v>0.3</v>
      </c>
      <c r="Q20" s="1">
        <v>0.5</v>
      </c>
      <c r="R20" s="1">
        <v>0.4</v>
      </c>
      <c r="S20" s="1">
        <v>0</v>
      </c>
      <c r="T20" s="1">
        <v>0.2</v>
      </c>
      <c r="U20" s="48">
        <v>0</v>
      </c>
      <c r="V20" s="1">
        <f t="shared" si="0"/>
        <v>0.60000000000000009</v>
      </c>
      <c r="W20" s="251">
        <f t="shared" si="2"/>
        <v>0.90000000000000013</v>
      </c>
      <c r="X20" s="165">
        <f>AVERAGE(W20:W21)</f>
        <v>0.57037037037037042</v>
      </c>
      <c r="Y20" s="166"/>
      <c r="Z20" s="149" t="s">
        <v>46</v>
      </c>
      <c r="AA20" s="1">
        <v>0.4</v>
      </c>
      <c r="AB20" s="1">
        <v>0</v>
      </c>
      <c r="AC20" s="1">
        <v>0.2</v>
      </c>
      <c r="AD20" s="48">
        <v>0</v>
      </c>
      <c r="AE20" s="48">
        <f>+AC20+AA20+AB20</f>
        <v>0.60000000000000009</v>
      </c>
      <c r="AF20" s="185">
        <f t="shared" ref="AF20:AF21" si="3">+AE20/AL20</f>
        <v>0.85714285714285732</v>
      </c>
      <c r="AG20" s="209">
        <f>AVERAGE(AF20:AF21)</f>
        <v>0.45652173913043487</v>
      </c>
      <c r="AH20" s="193"/>
      <c r="AI20" s="5" t="s">
        <v>141</v>
      </c>
      <c r="AJ20" s="23">
        <v>0</v>
      </c>
      <c r="AK20" s="25">
        <v>0.3</v>
      </c>
      <c r="AL20" s="1">
        <v>0.7</v>
      </c>
      <c r="AM20" s="74" t="s">
        <v>203</v>
      </c>
      <c r="AN20" s="10" t="s">
        <v>185</v>
      </c>
      <c r="AO20" s="229"/>
      <c r="AP20" s="229"/>
      <c r="AQ20" s="230"/>
      <c r="AR20" s="230"/>
      <c r="AS20" s="196"/>
      <c r="AT20" s="213" t="s">
        <v>204</v>
      </c>
      <c r="AU20" s="213" t="s">
        <v>207</v>
      </c>
      <c r="AV20" s="161">
        <v>17016442206.09</v>
      </c>
      <c r="AW20" s="220">
        <v>15994262674.48</v>
      </c>
      <c r="AX20" s="36" t="s">
        <v>278</v>
      </c>
      <c r="AY20" s="179" t="s">
        <v>332</v>
      </c>
      <c r="AZ20" s="249"/>
    </row>
    <row r="21" spans="1:53" ht="87" customHeight="1" x14ac:dyDescent="0.2">
      <c r="A21" s="110"/>
      <c r="B21" s="110"/>
      <c r="C21" s="110"/>
      <c r="D21" s="83"/>
      <c r="E21" s="98"/>
      <c r="F21" s="99"/>
      <c r="G21" s="99"/>
      <c r="H21" s="100"/>
      <c r="I21" s="150"/>
      <c r="J21" s="34" t="s">
        <v>78</v>
      </c>
      <c r="K21" s="245">
        <v>432</v>
      </c>
      <c r="L21" s="1">
        <v>0</v>
      </c>
      <c r="M21" s="19">
        <f>38+57</f>
        <v>95</v>
      </c>
      <c r="N21" s="1">
        <v>50</v>
      </c>
      <c r="O21" s="1">
        <v>100</v>
      </c>
      <c r="P21" s="1">
        <v>100</v>
      </c>
      <c r="Q21" s="1">
        <f>432-250</f>
        <v>182</v>
      </c>
      <c r="R21" s="1">
        <v>9</v>
      </c>
      <c r="S21" s="1">
        <v>0</v>
      </c>
      <c r="T21" s="1">
        <v>0</v>
      </c>
      <c r="U21" s="48">
        <v>0</v>
      </c>
      <c r="V21" s="1">
        <f t="shared" si="0"/>
        <v>9</v>
      </c>
      <c r="W21" s="251">
        <f t="shared" si="2"/>
        <v>0.24074074074074073</v>
      </c>
      <c r="X21" s="260"/>
      <c r="Y21" s="167"/>
      <c r="Z21" s="150"/>
      <c r="AA21" s="1">
        <v>9</v>
      </c>
      <c r="AB21" s="1">
        <v>0</v>
      </c>
      <c r="AC21" s="1">
        <v>0</v>
      </c>
      <c r="AD21" s="48">
        <v>0</v>
      </c>
      <c r="AE21" s="48">
        <f>+AC21+AA21+AB21</f>
        <v>9</v>
      </c>
      <c r="AF21" s="185">
        <f t="shared" si="3"/>
        <v>5.5900621118012424E-2</v>
      </c>
      <c r="AG21" s="198"/>
      <c r="AH21" s="231"/>
      <c r="AI21" s="5" t="s">
        <v>142</v>
      </c>
      <c r="AJ21" s="23">
        <v>38</v>
      </c>
      <c r="AK21" s="26">
        <v>57</v>
      </c>
      <c r="AL21" s="1">
        <f>(50-32)+(100-57)+100</f>
        <v>161</v>
      </c>
      <c r="AM21" s="74" t="s">
        <v>203</v>
      </c>
      <c r="AN21" s="10" t="s">
        <v>185</v>
      </c>
      <c r="AO21" s="232"/>
      <c r="AP21" s="232"/>
      <c r="AQ21" s="222"/>
      <c r="AR21" s="222"/>
      <c r="AS21" s="233"/>
      <c r="AT21" s="216"/>
      <c r="AU21" s="216"/>
      <c r="AV21" s="162"/>
      <c r="AW21" s="227"/>
      <c r="AX21" s="36" t="s">
        <v>279</v>
      </c>
      <c r="AY21" s="180" t="s">
        <v>333</v>
      </c>
      <c r="AZ21" s="249"/>
    </row>
    <row r="22" spans="1:53" s="30" customFormat="1" ht="370.5" customHeight="1" x14ac:dyDescent="0.2">
      <c r="A22" s="110"/>
      <c r="B22" s="110"/>
      <c r="C22" s="110"/>
      <c r="D22" s="82" t="s">
        <v>25</v>
      </c>
      <c r="E22" s="132" t="s">
        <v>33</v>
      </c>
      <c r="F22" s="132">
        <v>5.09</v>
      </c>
      <c r="G22" s="265">
        <v>5.44</v>
      </c>
      <c r="H22" s="123">
        <f>+((5.44-5.09)/(5.7-5.09))</f>
        <v>0.57377049180327921</v>
      </c>
      <c r="I22" s="126" t="s">
        <v>47</v>
      </c>
      <c r="J22" s="5" t="s">
        <v>79</v>
      </c>
      <c r="K22" s="245">
        <v>35</v>
      </c>
      <c r="L22" s="1">
        <v>13</v>
      </c>
      <c r="M22" s="20">
        <f>0+6</f>
        <v>6</v>
      </c>
      <c r="N22" s="1">
        <v>15</v>
      </c>
      <c r="O22" s="1">
        <v>20</v>
      </c>
      <c r="P22" s="1">
        <v>25</v>
      </c>
      <c r="Q22" s="1">
        <v>35</v>
      </c>
      <c r="R22" s="1">
        <v>0</v>
      </c>
      <c r="S22" s="1">
        <v>11</v>
      </c>
      <c r="T22" s="1">
        <v>11</v>
      </c>
      <c r="U22" s="1">
        <v>11</v>
      </c>
      <c r="V22" s="1">
        <f>+U22</f>
        <v>11</v>
      </c>
      <c r="W22" s="251">
        <f t="shared" si="2"/>
        <v>0.48571428571428571</v>
      </c>
      <c r="X22" s="266"/>
      <c r="Y22" s="80">
        <f>AVERAGE(X22:X48)</f>
        <v>0.80234382563476958</v>
      </c>
      <c r="Z22" s="126" t="s">
        <v>47</v>
      </c>
      <c r="AA22" s="1">
        <v>0</v>
      </c>
      <c r="AB22" s="1">
        <v>11</v>
      </c>
      <c r="AC22" s="1">
        <v>11</v>
      </c>
      <c r="AD22" s="1">
        <v>11</v>
      </c>
      <c r="AE22" s="48">
        <f>+AD22</f>
        <v>11</v>
      </c>
      <c r="AF22" s="185">
        <v>1</v>
      </c>
      <c r="AG22" s="209">
        <f>AVERAGE(AF22:AF27)</f>
        <v>0.81722222222222218</v>
      </c>
      <c r="AH22" s="267">
        <f>AVERAGE(AG22:AG48)</f>
        <v>0.6273333333333333</v>
      </c>
      <c r="AI22" s="5" t="s">
        <v>143</v>
      </c>
      <c r="AJ22" s="23">
        <v>13</v>
      </c>
      <c r="AK22" s="32">
        <v>19</v>
      </c>
      <c r="AL22" s="1">
        <f>+(15-13)+(20-19)+5</f>
        <v>8</v>
      </c>
      <c r="AM22" s="74" t="s">
        <v>203</v>
      </c>
      <c r="AN22" s="10" t="s">
        <v>190</v>
      </c>
      <c r="AO22" s="212" t="s">
        <v>293</v>
      </c>
      <c r="AP22" s="212" t="s">
        <v>285</v>
      </c>
      <c r="AQ22" s="268">
        <v>2766917053</v>
      </c>
      <c r="AR22" s="268">
        <v>2718927452</v>
      </c>
      <c r="AS22" s="209">
        <f>+((AR22+AR29+AR35+AR44)/(AQ22+AQ29+AQ35+AQ44))</f>
        <v>0.59750471448890263</v>
      </c>
      <c r="AT22" s="213" t="s">
        <v>204</v>
      </c>
      <c r="AU22" s="213" t="s">
        <v>207</v>
      </c>
      <c r="AV22" s="220">
        <v>1352188457</v>
      </c>
      <c r="AW22" s="220">
        <v>569300000</v>
      </c>
      <c r="AX22" s="269" t="s">
        <v>268</v>
      </c>
      <c r="AY22" s="270" t="s">
        <v>366</v>
      </c>
      <c r="AZ22" s="249"/>
      <c r="BA22" s="31"/>
    </row>
    <row r="23" spans="1:53" s="30" customFormat="1" ht="409.5" customHeight="1" x14ac:dyDescent="0.2">
      <c r="A23" s="110"/>
      <c r="B23" s="110"/>
      <c r="C23" s="110"/>
      <c r="D23" s="110"/>
      <c r="E23" s="136"/>
      <c r="F23" s="136"/>
      <c r="G23" s="271"/>
      <c r="H23" s="124"/>
      <c r="I23" s="127"/>
      <c r="J23" s="5" t="s">
        <v>80</v>
      </c>
      <c r="K23" s="245">
        <v>10</v>
      </c>
      <c r="L23" s="1">
        <v>15</v>
      </c>
      <c r="M23" s="20">
        <f>4+2</f>
        <v>6</v>
      </c>
      <c r="N23" s="1">
        <v>16</v>
      </c>
      <c r="O23" s="1">
        <v>18</v>
      </c>
      <c r="P23" s="1">
        <v>20</v>
      </c>
      <c r="Q23" s="1">
        <v>25</v>
      </c>
      <c r="R23" s="1">
        <v>0</v>
      </c>
      <c r="S23" s="1">
        <v>21</v>
      </c>
      <c r="T23" s="1">
        <v>21</v>
      </c>
      <c r="U23" s="48">
        <v>23</v>
      </c>
      <c r="V23" s="1">
        <f>+U23</f>
        <v>23</v>
      </c>
      <c r="W23" s="251">
        <v>1</v>
      </c>
      <c r="X23" s="166">
        <f>AVERAGE(W23:W27)</f>
        <v>0.89071360041645919</v>
      </c>
      <c r="Y23" s="272"/>
      <c r="Z23" s="127"/>
      <c r="AA23" s="1">
        <v>0</v>
      </c>
      <c r="AB23" s="1">
        <v>21</v>
      </c>
      <c r="AC23" s="1">
        <v>21</v>
      </c>
      <c r="AD23" s="48">
        <v>23</v>
      </c>
      <c r="AE23" s="48">
        <v>23</v>
      </c>
      <c r="AF23" s="185">
        <v>1</v>
      </c>
      <c r="AG23" s="192"/>
      <c r="AH23" s="193"/>
      <c r="AI23" s="5" t="s">
        <v>144</v>
      </c>
      <c r="AJ23" s="23">
        <v>19</v>
      </c>
      <c r="AK23" s="32">
        <v>21</v>
      </c>
      <c r="AL23" s="1">
        <f>+(19-16)+(21-18)+2</f>
        <v>8</v>
      </c>
      <c r="AM23" s="74" t="s">
        <v>203</v>
      </c>
      <c r="AN23" s="10" t="s">
        <v>190</v>
      </c>
      <c r="AO23" s="212"/>
      <c r="AP23" s="212"/>
      <c r="AQ23" s="268"/>
      <c r="AR23" s="268"/>
      <c r="AS23" s="192"/>
      <c r="AT23" s="223"/>
      <c r="AU23" s="223"/>
      <c r="AV23" s="225"/>
      <c r="AW23" s="225"/>
      <c r="AX23" s="269" t="s">
        <v>244</v>
      </c>
      <c r="AY23" s="273" t="s">
        <v>367</v>
      </c>
      <c r="AZ23" s="249"/>
    </row>
    <row r="24" spans="1:53" ht="117.75" customHeight="1" x14ac:dyDescent="0.2">
      <c r="A24" s="110"/>
      <c r="B24" s="110"/>
      <c r="C24" s="110"/>
      <c r="D24" s="110"/>
      <c r="E24" s="136"/>
      <c r="F24" s="136"/>
      <c r="G24" s="271"/>
      <c r="H24" s="124"/>
      <c r="I24" s="127"/>
      <c r="J24" s="5" t="s">
        <v>81</v>
      </c>
      <c r="K24" s="245">
        <v>2.64</v>
      </c>
      <c r="L24" s="1">
        <v>2.3199999999999998</v>
      </c>
      <c r="M24" s="20">
        <v>2.4700000000000002</v>
      </c>
      <c r="N24" s="1">
        <v>2.35</v>
      </c>
      <c r="O24" s="1">
        <v>2.4</v>
      </c>
      <c r="P24" s="1">
        <v>2.5</v>
      </c>
      <c r="Q24" s="1">
        <v>2.64</v>
      </c>
      <c r="R24" s="1">
        <v>0</v>
      </c>
      <c r="S24" s="1">
        <v>2.42</v>
      </c>
      <c r="T24" s="1">
        <v>2.42</v>
      </c>
      <c r="U24" s="1">
        <v>2.42</v>
      </c>
      <c r="V24" s="1">
        <v>2.42</v>
      </c>
      <c r="W24" s="251">
        <f>+(V24)/K24</f>
        <v>0.91666666666666663</v>
      </c>
      <c r="X24" s="166"/>
      <c r="Y24" s="272"/>
      <c r="Z24" s="127"/>
      <c r="AA24" s="1">
        <v>0</v>
      </c>
      <c r="AB24" s="1">
        <v>2.42</v>
      </c>
      <c r="AC24" s="1">
        <v>2.42</v>
      </c>
      <c r="AD24" s="1">
        <v>2.42</v>
      </c>
      <c r="AE24" s="48">
        <f>+AC24</f>
        <v>2.42</v>
      </c>
      <c r="AF24" s="185">
        <f t="shared" ref="AF24:AF27" si="4">+AE24/AL24</f>
        <v>0.96799999999999997</v>
      </c>
      <c r="AG24" s="192"/>
      <c r="AH24" s="193"/>
      <c r="AI24" s="5" t="s">
        <v>145</v>
      </c>
      <c r="AJ24" s="23">
        <v>2.3199999999999998</v>
      </c>
      <c r="AK24" s="32">
        <v>2.4700000000000002</v>
      </c>
      <c r="AL24" s="1">
        <v>2.5</v>
      </c>
      <c r="AM24" s="74" t="s">
        <v>203</v>
      </c>
      <c r="AN24" s="10" t="s">
        <v>190</v>
      </c>
      <c r="AO24" s="212"/>
      <c r="AP24" s="212"/>
      <c r="AQ24" s="268"/>
      <c r="AR24" s="268"/>
      <c r="AS24" s="192"/>
      <c r="AT24" s="223"/>
      <c r="AU24" s="223"/>
      <c r="AV24" s="225"/>
      <c r="AW24" s="225"/>
      <c r="AX24" s="32" t="s">
        <v>265</v>
      </c>
      <c r="AY24" s="274" t="s">
        <v>265</v>
      </c>
      <c r="AZ24" s="249"/>
    </row>
    <row r="25" spans="1:53" ht="99.75" customHeight="1" x14ac:dyDescent="0.2">
      <c r="A25" s="110"/>
      <c r="B25" s="110"/>
      <c r="C25" s="110"/>
      <c r="D25" s="110"/>
      <c r="E25" s="131"/>
      <c r="F25" s="131"/>
      <c r="G25" s="275"/>
      <c r="H25" s="125"/>
      <c r="I25" s="127"/>
      <c r="J25" s="5" t="s">
        <v>82</v>
      </c>
      <c r="K25" s="245">
        <v>2.57</v>
      </c>
      <c r="L25" s="1">
        <v>2.1800000000000002</v>
      </c>
      <c r="M25" s="20">
        <v>2.33</v>
      </c>
      <c r="N25" s="1">
        <v>2.2200000000000002</v>
      </c>
      <c r="O25" s="1">
        <v>2.2999999999999998</v>
      </c>
      <c r="P25" s="1">
        <v>2.4</v>
      </c>
      <c r="Q25" s="1">
        <v>2.57</v>
      </c>
      <c r="R25" s="1">
        <v>0</v>
      </c>
      <c r="S25" s="1">
        <v>2.36</v>
      </c>
      <c r="T25" s="1">
        <v>2.36</v>
      </c>
      <c r="U25" s="1">
        <v>2.36</v>
      </c>
      <c r="V25" s="1">
        <v>2.36</v>
      </c>
      <c r="W25" s="251">
        <f>+(V25)/K25</f>
        <v>0.91828793774319062</v>
      </c>
      <c r="X25" s="166"/>
      <c r="Y25" s="272"/>
      <c r="Z25" s="127"/>
      <c r="AA25" s="1">
        <v>0</v>
      </c>
      <c r="AB25" s="1">
        <v>2.36</v>
      </c>
      <c r="AC25" s="1">
        <v>2.36</v>
      </c>
      <c r="AD25" s="1">
        <v>2.36</v>
      </c>
      <c r="AE25" s="48">
        <f>+AC25</f>
        <v>2.36</v>
      </c>
      <c r="AF25" s="185">
        <f t="shared" si="4"/>
        <v>0.98333333333333328</v>
      </c>
      <c r="AG25" s="192"/>
      <c r="AH25" s="193"/>
      <c r="AI25" s="5" t="s">
        <v>146</v>
      </c>
      <c r="AJ25" s="23">
        <v>2.1800000000000002</v>
      </c>
      <c r="AK25" s="32">
        <v>2.33</v>
      </c>
      <c r="AL25" s="1">
        <v>2.4</v>
      </c>
      <c r="AM25" s="74" t="s">
        <v>203</v>
      </c>
      <c r="AN25" s="10" t="s">
        <v>190</v>
      </c>
      <c r="AO25" s="212"/>
      <c r="AP25" s="212"/>
      <c r="AQ25" s="268"/>
      <c r="AR25" s="268"/>
      <c r="AS25" s="192"/>
      <c r="AT25" s="223"/>
      <c r="AU25" s="223"/>
      <c r="AV25" s="225"/>
      <c r="AW25" s="225"/>
      <c r="AX25" s="32" t="s">
        <v>265</v>
      </c>
      <c r="AY25" s="274" t="s">
        <v>313</v>
      </c>
      <c r="AZ25" s="249"/>
    </row>
    <row r="26" spans="1:53" ht="162.75" customHeight="1" x14ac:dyDescent="0.2">
      <c r="A26" s="110"/>
      <c r="B26" s="110"/>
      <c r="C26" s="110"/>
      <c r="D26" s="110"/>
      <c r="E26" s="132" t="s">
        <v>34</v>
      </c>
      <c r="F26" s="132">
        <v>4.71</v>
      </c>
      <c r="G26" s="265">
        <v>5.24</v>
      </c>
      <c r="H26" s="123">
        <f>+((5.24-4.71)/(5.7-4.71))</f>
        <v>0.53535353535353547</v>
      </c>
      <c r="I26" s="127"/>
      <c r="J26" s="5" t="s">
        <v>83</v>
      </c>
      <c r="K26" s="245">
        <v>2.71</v>
      </c>
      <c r="L26" s="1">
        <v>2.31</v>
      </c>
      <c r="M26" s="20">
        <v>2.39</v>
      </c>
      <c r="N26" s="1">
        <v>2.35</v>
      </c>
      <c r="O26" s="1">
        <v>2.4</v>
      </c>
      <c r="P26" s="1">
        <v>2.5</v>
      </c>
      <c r="Q26" s="1">
        <v>2.71</v>
      </c>
      <c r="R26" s="1">
        <v>0</v>
      </c>
      <c r="S26" s="1">
        <v>2.38</v>
      </c>
      <c r="T26" s="1">
        <v>2.38</v>
      </c>
      <c r="U26" s="1">
        <v>2.38</v>
      </c>
      <c r="V26" s="1">
        <v>2.38</v>
      </c>
      <c r="W26" s="251">
        <f>+(V26)/K26</f>
        <v>0.87822878228782286</v>
      </c>
      <c r="X26" s="166"/>
      <c r="Y26" s="272"/>
      <c r="Z26" s="127"/>
      <c r="AA26" s="1">
        <v>0</v>
      </c>
      <c r="AB26" s="1">
        <v>2.38</v>
      </c>
      <c r="AC26" s="1">
        <v>2.38</v>
      </c>
      <c r="AD26" s="1">
        <v>2.38</v>
      </c>
      <c r="AE26" s="48">
        <f>+AC26</f>
        <v>2.38</v>
      </c>
      <c r="AF26" s="185">
        <f t="shared" si="4"/>
        <v>0.95199999999999996</v>
      </c>
      <c r="AG26" s="192"/>
      <c r="AH26" s="193"/>
      <c r="AI26" s="5" t="s">
        <v>147</v>
      </c>
      <c r="AJ26" s="23">
        <v>2.31</v>
      </c>
      <c r="AK26" s="32">
        <v>2.39</v>
      </c>
      <c r="AL26" s="1">
        <v>2.5</v>
      </c>
      <c r="AM26" s="74" t="s">
        <v>203</v>
      </c>
      <c r="AN26" s="10" t="s">
        <v>190</v>
      </c>
      <c r="AO26" s="212"/>
      <c r="AP26" s="212"/>
      <c r="AQ26" s="268"/>
      <c r="AR26" s="268"/>
      <c r="AS26" s="192"/>
      <c r="AT26" s="223"/>
      <c r="AU26" s="223"/>
      <c r="AV26" s="225"/>
      <c r="AW26" s="225"/>
      <c r="AX26" s="32" t="s">
        <v>269</v>
      </c>
      <c r="AY26" s="274" t="s">
        <v>314</v>
      </c>
      <c r="AZ26" s="249"/>
    </row>
    <row r="27" spans="1:53" ht="95.25" customHeight="1" x14ac:dyDescent="0.2">
      <c r="A27" s="110"/>
      <c r="B27" s="110"/>
      <c r="C27" s="110"/>
      <c r="D27" s="110"/>
      <c r="E27" s="136"/>
      <c r="F27" s="136"/>
      <c r="G27" s="271"/>
      <c r="H27" s="124"/>
      <c r="I27" s="128"/>
      <c r="J27" s="5" t="s">
        <v>84</v>
      </c>
      <c r="K27" s="245">
        <v>104</v>
      </c>
      <c r="L27" s="1">
        <v>50</v>
      </c>
      <c r="M27" s="20">
        <f>44+33</f>
        <v>77</v>
      </c>
      <c r="N27" s="1">
        <v>5</v>
      </c>
      <c r="O27" s="1">
        <v>10</v>
      </c>
      <c r="P27" s="1">
        <v>15</v>
      </c>
      <c r="Q27" s="1">
        <v>24</v>
      </c>
      <c r="R27" s="1">
        <v>0</v>
      </c>
      <c r="S27" s="1">
        <v>0</v>
      </c>
      <c r="T27" s="1">
        <v>0</v>
      </c>
      <c r="U27" s="48">
        <v>0</v>
      </c>
      <c r="V27" s="48">
        <v>0</v>
      </c>
      <c r="W27" s="251">
        <f t="shared" si="2"/>
        <v>0.74038461538461542</v>
      </c>
      <c r="X27" s="167"/>
      <c r="Y27" s="272"/>
      <c r="Z27" s="128"/>
      <c r="AA27" s="1">
        <v>0</v>
      </c>
      <c r="AB27" s="1">
        <v>0</v>
      </c>
      <c r="AC27" s="1">
        <v>0</v>
      </c>
      <c r="AD27" s="48">
        <v>0</v>
      </c>
      <c r="AE27" s="48">
        <f t="shared" ref="AE27:AE32" si="5">SUM(AA27:AD27)</f>
        <v>0</v>
      </c>
      <c r="AF27" s="185">
        <f t="shared" si="4"/>
        <v>0</v>
      </c>
      <c r="AG27" s="198"/>
      <c r="AH27" s="193"/>
      <c r="AI27" s="5" t="s">
        <v>148</v>
      </c>
      <c r="AJ27" s="23">
        <v>44</v>
      </c>
      <c r="AK27" s="32">
        <v>33</v>
      </c>
      <c r="AL27" s="1">
        <f>80-65</f>
        <v>15</v>
      </c>
      <c r="AM27" s="74" t="s">
        <v>203</v>
      </c>
      <c r="AN27" s="10" t="s">
        <v>190</v>
      </c>
      <c r="AO27" s="212"/>
      <c r="AP27" s="212"/>
      <c r="AQ27" s="268"/>
      <c r="AR27" s="268"/>
      <c r="AS27" s="192"/>
      <c r="AT27" s="216"/>
      <c r="AU27" s="216"/>
      <c r="AV27" s="227"/>
      <c r="AW27" s="227"/>
      <c r="AX27" s="32" t="s">
        <v>266</v>
      </c>
      <c r="AY27" s="274" t="s">
        <v>266</v>
      </c>
      <c r="AZ27" s="249"/>
    </row>
    <row r="28" spans="1:53" ht="288.75" customHeight="1" x14ac:dyDescent="0.2">
      <c r="A28" s="110"/>
      <c r="B28" s="110"/>
      <c r="C28" s="110"/>
      <c r="D28" s="110"/>
      <c r="E28" s="131"/>
      <c r="F28" s="131"/>
      <c r="G28" s="275"/>
      <c r="H28" s="125"/>
      <c r="I28" s="149" t="s">
        <v>48</v>
      </c>
      <c r="J28" s="34" t="s">
        <v>85</v>
      </c>
      <c r="K28" s="245">
        <f>1700-500</f>
        <v>1200</v>
      </c>
      <c r="L28" s="1">
        <v>500</v>
      </c>
      <c r="M28" s="20">
        <v>967</v>
      </c>
      <c r="N28" s="1">
        <v>600</v>
      </c>
      <c r="O28" s="1">
        <v>200</v>
      </c>
      <c r="P28" s="1">
        <v>200</v>
      </c>
      <c r="Q28" s="1">
        <v>700</v>
      </c>
      <c r="R28" s="1">
        <v>0</v>
      </c>
      <c r="S28" s="1">
        <v>0</v>
      </c>
      <c r="T28" s="1">
        <v>0</v>
      </c>
      <c r="U28" s="1">
        <v>725</v>
      </c>
      <c r="V28" s="1">
        <f t="shared" si="0"/>
        <v>725</v>
      </c>
      <c r="W28" s="251">
        <v>1</v>
      </c>
      <c r="X28" s="165">
        <f>AVERAGE(W28:W32)</f>
        <v>0.48045204678362569</v>
      </c>
      <c r="Y28" s="272"/>
      <c r="Z28" s="149" t="s">
        <v>48</v>
      </c>
      <c r="AA28" s="1">
        <v>0</v>
      </c>
      <c r="AB28" s="1">
        <v>0</v>
      </c>
      <c r="AC28" s="1">
        <v>0</v>
      </c>
      <c r="AD28" s="1">
        <v>725</v>
      </c>
      <c r="AE28" s="48">
        <f t="shared" si="5"/>
        <v>725</v>
      </c>
      <c r="AF28" s="185">
        <v>1</v>
      </c>
      <c r="AG28" s="209">
        <f>AVERAGE(AF28:AF32)</f>
        <v>0.2</v>
      </c>
      <c r="AH28" s="193"/>
      <c r="AI28" s="5" t="s">
        <v>149</v>
      </c>
      <c r="AJ28" s="23">
        <v>967</v>
      </c>
      <c r="AK28" s="32">
        <v>0</v>
      </c>
      <c r="AL28" s="1">
        <f>(967-600)+(200-(967-600))+200</f>
        <v>400</v>
      </c>
      <c r="AM28" s="74" t="s">
        <v>203</v>
      </c>
      <c r="AN28" s="10" t="s">
        <v>191</v>
      </c>
      <c r="AO28" s="212"/>
      <c r="AP28" s="212"/>
      <c r="AQ28" s="268"/>
      <c r="AR28" s="268"/>
      <c r="AS28" s="192"/>
      <c r="AT28" s="213" t="s">
        <v>204</v>
      </c>
      <c r="AU28" s="213" t="s">
        <v>207</v>
      </c>
      <c r="AV28" s="220">
        <v>4427400000</v>
      </c>
      <c r="AW28" s="220">
        <v>2927400000</v>
      </c>
      <c r="AX28" s="32" t="s">
        <v>216</v>
      </c>
      <c r="AY28" s="241" t="s">
        <v>315</v>
      </c>
      <c r="AZ28" s="249"/>
    </row>
    <row r="29" spans="1:53" ht="198" x14ac:dyDescent="0.2">
      <c r="A29" s="110"/>
      <c r="B29" s="110"/>
      <c r="C29" s="110"/>
      <c r="D29" s="110"/>
      <c r="E29" s="132" t="s">
        <v>35</v>
      </c>
      <c r="F29" s="132">
        <v>5.17</v>
      </c>
      <c r="G29" s="265">
        <v>5.2</v>
      </c>
      <c r="H29" s="123">
        <f>+((5.2-5.17)/(6.2-5.17))</f>
        <v>2.9126213592233243E-2</v>
      </c>
      <c r="I29" s="151"/>
      <c r="J29" s="34" t="s">
        <v>86</v>
      </c>
      <c r="K29" s="245">
        <v>800</v>
      </c>
      <c r="L29" s="1" t="s">
        <v>225</v>
      </c>
      <c r="M29" s="20">
        <v>122</v>
      </c>
      <c r="N29" s="1">
        <v>150</v>
      </c>
      <c r="O29" s="1">
        <v>150</v>
      </c>
      <c r="P29" s="1">
        <v>200</v>
      </c>
      <c r="Q29" s="1">
        <v>300</v>
      </c>
      <c r="R29" s="1">
        <v>0</v>
      </c>
      <c r="S29" s="1">
        <v>0</v>
      </c>
      <c r="T29" s="1">
        <v>0</v>
      </c>
      <c r="U29" s="48">
        <v>0</v>
      </c>
      <c r="V29" s="1">
        <f t="shared" si="0"/>
        <v>0</v>
      </c>
      <c r="W29" s="251">
        <f t="shared" si="2"/>
        <v>0.1525</v>
      </c>
      <c r="X29" s="166"/>
      <c r="Y29" s="272"/>
      <c r="Z29" s="151"/>
      <c r="AA29" s="1">
        <v>0</v>
      </c>
      <c r="AB29" s="1">
        <v>0</v>
      </c>
      <c r="AC29" s="1">
        <v>0</v>
      </c>
      <c r="AD29" s="48">
        <v>0</v>
      </c>
      <c r="AE29" s="48">
        <f t="shared" si="5"/>
        <v>0</v>
      </c>
      <c r="AF29" s="185">
        <f t="shared" ref="AF29:AF31" si="6">+AE29/AL29</f>
        <v>0</v>
      </c>
      <c r="AG29" s="192"/>
      <c r="AH29" s="193"/>
      <c r="AI29" s="5" t="s">
        <v>150</v>
      </c>
      <c r="AJ29" s="23">
        <v>122</v>
      </c>
      <c r="AK29" s="32">
        <v>0</v>
      </c>
      <c r="AL29" s="1">
        <f>(150-122)+(150-(150-122))+200</f>
        <v>350</v>
      </c>
      <c r="AM29" s="74" t="s">
        <v>203</v>
      </c>
      <c r="AN29" s="10" t="s">
        <v>191</v>
      </c>
      <c r="AO29" s="217" t="s">
        <v>354</v>
      </c>
      <c r="AP29" s="217" t="s">
        <v>336</v>
      </c>
      <c r="AQ29" s="276">
        <v>27400000</v>
      </c>
      <c r="AR29" s="276">
        <v>27400000</v>
      </c>
      <c r="AS29" s="192"/>
      <c r="AT29" s="223"/>
      <c r="AU29" s="223"/>
      <c r="AV29" s="225"/>
      <c r="AW29" s="225"/>
      <c r="AX29" s="32" t="s">
        <v>234</v>
      </c>
      <c r="AY29" s="274" t="s">
        <v>315</v>
      </c>
      <c r="AZ29" s="249"/>
    </row>
    <row r="30" spans="1:53" ht="166.5" customHeight="1" x14ac:dyDescent="0.2">
      <c r="A30" s="110"/>
      <c r="B30" s="110"/>
      <c r="C30" s="110"/>
      <c r="D30" s="110"/>
      <c r="E30" s="136"/>
      <c r="F30" s="136"/>
      <c r="G30" s="271"/>
      <c r="H30" s="124"/>
      <c r="I30" s="151"/>
      <c r="J30" s="34" t="s">
        <v>87</v>
      </c>
      <c r="K30" s="245">
        <v>250</v>
      </c>
      <c r="L30" s="1" t="s">
        <v>225</v>
      </c>
      <c r="M30" s="20">
        <v>151</v>
      </c>
      <c r="N30" s="1">
        <v>60</v>
      </c>
      <c r="O30" s="1">
        <v>60</v>
      </c>
      <c r="P30" s="1">
        <v>80</v>
      </c>
      <c r="Q30" s="1">
        <v>50</v>
      </c>
      <c r="R30" s="1">
        <v>0</v>
      </c>
      <c r="S30" s="1">
        <v>0</v>
      </c>
      <c r="T30" s="1">
        <v>0</v>
      </c>
      <c r="U30" s="48">
        <v>0</v>
      </c>
      <c r="V30" s="1">
        <f t="shared" si="0"/>
        <v>0</v>
      </c>
      <c r="W30" s="251">
        <f t="shared" si="2"/>
        <v>0.60399999999999998</v>
      </c>
      <c r="X30" s="166"/>
      <c r="Y30" s="272"/>
      <c r="Z30" s="151"/>
      <c r="AA30" s="1">
        <v>0</v>
      </c>
      <c r="AB30" s="1">
        <v>0</v>
      </c>
      <c r="AC30" s="1">
        <v>0</v>
      </c>
      <c r="AD30" s="48">
        <v>0</v>
      </c>
      <c r="AE30" s="48">
        <f t="shared" si="5"/>
        <v>0</v>
      </c>
      <c r="AF30" s="185">
        <f t="shared" si="6"/>
        <v>0</v>
      </c>
      <c r="AG30" s="192"/>
      <c r="AH30" s="193"/>
      <c r="AI30" s="5" t="s">
        <v>151</v>
      </c>
      <c r="AJ30" s="23">
        <v>151</v>
      </c>
      <c r="AK30" s="32">
        <v>0</v>
      </c>
      <c r="AL30" s="1">
        <f>(151-60)+(60-(151-60))+80</f>
        <v>140</v>
      </c>
      <c r="AM30" s="74" t="s">
        <v>203</v>
      </c>
      <c r="AN30" s="10" t="s">
        <v>191</v>
      </c>
      <c r="AO30" s="277"/>
      <c r="AP30" s="277"/>
      <c r="AQ30" s="278"/>
      <c r="AR30" s="278"/>
      <c r="AS30" s="192"/>
      <c r="AT30" s="223"/>
      <c r="AU30" s="223"/>
      <c r="AV30" s="225"/>
      <c r="AW30" s="225"/>
      <c r="AX30" s="32" t="s">
        <v>419</v>
      </c>
      <c r="AY30" s="274" t="s">
        <v>315</v>
      </c>
      <c r="AZ30" s="249"/>
    </row>
    <row r="31" spans="1:53" ht="198" x14ac:dyDescent="0.2">
      <c r="A31" s="110"/>
      <c r="B31" s="110"/>
      <c r="C31" s="110"/>
      <c r="D31" s="110"/>
      <c r="E31" s="131"/>
      <c r="F31" s="131"/>
      <c r="G31" s="271"/>
      <c r="H31" s="125"/>
      <c r="I31" s="151"/>
      <c r="J31" s="34" t="s">
        <v>88</v>
      </c>
      <c r="K31" s="245">
        <v>380</v>
      </c>
      <c r="L31" s="1" t="s">
        <v>225</v>
      </c>
      <c r="M31" s="20">
        <v>105</v>
      </c>
      <c r="N31" s="1">
        <v>80</v>
      </c>
      <c r="O31" s="1">
        <v>80</v>
      </c>
      <c r="P31" s="1">
        <v>80</v>
      </c>
      <c r="Q31" s="1">
        <v>140</v>
      </c>
      <c r="R31" s="1">
        <v>0</v>
      </c>
      <c r="S31" s="1">
        <v>0</v>
      </c>
      <c r="T31" s="1">
        <v>0</v>
      </c>
      <c r="U31" s="48">
        <v>0</v>
      </c>
      <c r="V31" s="1">
        <f t="shared" si="0"/>
        <v>0</v>
      </c>
      <c r="W31" s="251">
        <f t="shared" si="2"/>
        <v>0.27631578947368424</v>
      </c>
      <c r="X31" s="166"/>
      <c r="Y31" s="272"/>
      <c r="Z31" s="151"/>
      <c r="AA31" s="1">
        <v>0</v>
      </c>
      <c r="AB31" s="1">
        <v>0</v>
      </c>
      <c r="AC31" s="1">
        <v>0</v>
      </c>
      <c r="AD31" s="48">
        <v>0</v>
      </c>
      <c r="AE31" s="48">
        <f t="shared" si="5"/>
        <v>0</v>
      </c>
      <c r="AF31" s="185">
        <f t="shared" si="6"/>
        <v>0</v>
      </c>
      <c r="AG31" s="192"/>
      <c r="AH31" s="193"/>
      <c r="AI31" s="5" t="s">
        <v>152</v>
      </c>
      <c r="AJ31" s="23">
        <v>105</v>
      </c>
      <c r="AK31" s="32">
        <v>0</v>
      </c>
      <c r="AL31" s="1">
        <f>(105-80)+(80-(105-80))+80</f>
        <v>160</v>
      </c>
      <c r="AM31" s="74" t="s">
        <v>203</v>
      </c>
      <c r="AN31" s="10" t="s">
        <v>191</v>
      </c>
      <c r="AO31" s="277"/>
      <c r="AP31" s="277"/>
      <c r="AQ31" s="278"/>
      <c r="AR31" s="278"/>
      <c r="AS31" s="192"/>
      <c r="AT31" s="223"/>
      <c r="AU31" s="223"/>
      <c r="AV31" s="225"/>
      <c r="AW31" s="225"/>
      <c r="AX31" s="32" t="s">
        <v>234</v>
      </c>
      <c r="AY31" s="274" t="s">
        <v>315</v>
      </c>
      <c r="AZ31" s="249"/>
    </row>
    <row r="32" spans="1:53" ht="198" x14ac:dyDescent="0.2">
      <c r="A32" s="110"/>
      <c r="B32" s="110"/>
      <c r="C32" s="110"/>
      <c r="D32" s="110"/>
      <c r="E32" s="132" t="s">
        <v>36</v>
      </c>
      <c r="F32" s="101">
        <v>0.62</v>
      </c>
      <c r="G32" s="119">
        <v>0.4466</v>
      </c>
      <c r="H32" s="123">
        <f>+((62-44.66)/(62-40))</f>
        <v>0.78818181818181832</v>
      </c>
      <c r="I32" s="150"/>
      <c r="J32" s="34" t="s">
        <v>89</v>
      </c>
      <c r="K32" s="245">
        <v>720</v>
      </c>
      <c r="L32" s="1" t="s">
        <v>225</v>
      </c>
      <c r="M32" s="20">
        <v>266</v>
      </c>
      <c r="N32" s="1">
        <v>100</v>
      </c>
      <c r="O32" s="1">
        <v>150</v>
      </c>
      <c r="P32" s="1">
        <v>250</v>
      </c>
      <c r="Q32" s="1">
        <v>220</v>
      </c>
      <c r="R32" s="1">
        <v>0</v>
      </c>
      <c r="S32" s="1">
        <v>0</v>
      </c>
      <c r="T32" s="1">
        <v>0</v>
      </c>
      <c r="U32" s="48">
        <v>0</v>
      </c>
      <c r="V32" s="1">
        <f t="shared" si="0"/>
        <v>0</v>
      </c>
      <c r="W32" s="251">
        <f t="shared" si="2"/>
        <v>0.36944444444444446</v>
      </c>
      <c r="X32" s="167"/>
      <c r="Y32" s="272"/>
      <c r="Z32" s="150"/>
      <c r="AA32" s="1">
        <v>0</v>
      </c>
      <c r="AB32" s="1">
        <v>0</v>
      </c>
      <c r="AC32" s="1">
        <v>0</v>
      </c>
      <c r="AD32" s="48">
        <v>0</v>
      </c>
      <c r="AE32" s="48">
        <f t="shared" si="5"/>
        <v>0</v>
      </c>
      <c r="AF32" s="185">
        <f>+AE32/AL32</f>
        <v>0</v>
      </c>
      <c r="AG32" s="198"/>
      <c r="AH32" s="193"/>
      <c r="AI32" s="5" t="s">
        <v>153</v>
      </c>
      <c r="AJ32" s="23">
        <v>266</v>
      </c>
      <c r="AK32" s="32">
        <v>0</v>
      </c>
      <c r="AL32" s="1">
        <f>(266-100)+(150-(266-100))+250</f>
        <v>400</v>
      </c>
      <c r="AM32" s="74" t="s">
        <v>203</v>
      </c>
      <c r="AN32" s="10" t="s">
        <v>191</v>
      </c>
      <c r="AO32" s="277"/>
      <c r="AP32" s="277"/>
      <c r="AQ32" s="278"/>
      <c r="AR32" s="278"/>
      <c r="AS32" s="192"/>
      <c r="AT32" s="216"/>
      <c r="AU32" s="216"/>
      <c r="AV32" s="227"/>
      <c r="AW32" s="227"/>
      <c r="AX32" s="32" t="s">
        <v>235</v>
      </c>
      <c r="AY32" s="274" t="s">
        <v>315</v>
      </c>
      <c r="AZ32" s="249"/>
    </row>
    <row r="33" spans="1:52" ht="282.75" customHeight="1" x14ac:dyDescent="0.2">
      <c r="A33" s="110"/>
      <c r="B33" s="110"/>
      <c r="C33" s="110"/>
      <c r="D33" s="110"/>
      <c r="E33" s="136"/>
      <c r="F33" s="102"/>
      <c r="G33" s="136"/>
      <c r="H33" s="124"/>
      <c r="I33" s="126" t="s">
        <v>49</v>
      </c>
      <c r="J33" s="34" t="s">
        <v>90</v>
      </c>
      <c r="K33" s="245">
        <v>60</v>
      </c>
      <c r="L33" s="1">
        <v>0</v>
      </c>
      <c r="M33" s="20">
        <f>16+15</f>
        <v>31</v>
      </c>
      <c r="N33" s="1">
        <v>10</v>
      </c>
      <c r="O33" s="1">
        <v>20</v>
      </c>
      <c r="P33" s="1">
        <v>15</v>
      </c>
      <c r="Q33" s="1">
        <v>15</v>
      </c>
      <c r="R33" s="1">
        <v>11</v>
      </c>
      <c r="S33" s="1">
        <v>11</v>
      </c>
      <c r="T33" s="1">
        <v>18</v>
      </c>
      <c r="U33" s="48">
        <v>31</v>
      </c>
      <c r="V33" s="1">
        <v>31</v>
      </c>
      <c r="W33" s="251">
        <v>1</v>
      </c>
      <c r="X33" s="165">
        <f>AVERAGE(W33:W35)</f>
        <v>1</v>
      </c>
      <c r="Y33" s="272"/>
      <c r="Z33" s="132" t="s">
        <v>49</v>
      </c>
      <c r="AA33" s="1">
        <v>11</v>
      </c>
      <c r="AB33" s="1">
        <v>11</v>
      </c>
      <c r="AC33" s="1">
        <v>18</v>
      </c>
      <c r="AD33" s="1">
        <v>31</v>
      </c>
      <c r="AE33" s="1">
        <v>31</v>
      </c>
      <c r="AF33" s="185">
        <v>1</v>
      </c>
      <c r="AG33" s="209">
        <f>AVERAGE(AF33:AF35)</f>
        <v>1</v>
      </c>
      <c r="AH33" s="193"/>
      <c r="AI33" s="5" t="s">
        <v>154</v>
      </c>
      <c r="AJ33" s="23">
        <v>16</v>
      </c>
      <c r="AK33" s="32">
        <v>15</v>
      </c>
      <c r="AL33" s="1">
        <f>(16-10)-(20-15)+15</f>
        <v>16</v>
      </c>
      <c r="AM33" s="74" t="s">
        <v>203</v>
      </c>
      <c r="AN33" s="10" t="s">
        <v>192</v>
      </c>
      <c r="AO33" s="277"/>
      <c r="AP33" s="277"/>
      <c r="AQ33" s="278"/>
      <c r="AR33" s="278"/>
      <c r="AS33" s="192"/>
      <c r="AT33" s="279" t="s">
        <v>204</v>
      </c>
      <c r="AU33" s="213" t="s">
        <v>208</v>
      </c>
      <c r="AV33" s="220">
        <v>254399953.59999999</v>
      </c>
      <c r="AW33" s="89">
        <v>254399953.59999999</v>
      </c>
      <c r="AX33" s="32" t="s">
        <v>245</v>
      </c>
      <c r="AY33" s="280" t="s">
        <v>420</v>
      </c>
      <c r="AZ33" s="249"/>
    </row>
    <row r="34" spans="1:52" s="30" customFormat="1" ht="180" x14ac:dyDescent="0.2">
      <c r="A34" s="110"/>
      <c r="B34" s="110"/>
      <c r="C34" s="110"/>
      <c r="D34" s="110"/>
      <c r="E34" s="131"/>
      <c r="F34" s="103"/>
      <c r="G34" s="131"/>
      <c r="H34" s="125"/>
      <c r="I34" s="127"/>
      <c r="J34" s="34" t="s">
        <v>91</v>
      </c>
      <c r="K34" s="245">
        <v>60</v>
      </c>
      <c r="L34" s="1">
        <v>40</v>
      </c>
      <c r="M34" s="20">
        <f>22+20</f>
        <v>42</v>
      </c>
      <c r="N34" s="1">
        <v>3</v>
      </c>
      <c r="O34" s="1">
        <v>5</v>
      </c>
      <c r="P34" s="1">
        <v>4</v>
      </c>
      <c r="Q34" s="1">
        <v>8</v>
      </c>
      <c r="R34" s="1">
        <v>16</v>
      </c>
      <c r="S34" s="1">
        <v>25</v>
      </c>
      <c r="T34" s="1">
        <v>25</v>
      </c>
      <c r="U34" s="48">
        <v>25</v>
      </c>
      <c r="V34" s="1">
        <v>25</v>
      </c>
      <c r="W34" s="251">
        <v>1</v>
      </c>
      <c r="X34" s="166"/>
      <c r="Y34" s="272"/>
      <c r="Z34" s="136"/>
      <c r="AA34" s="1">
        <v>16</v>
      </c>
      <c r="AB34" s="1">
        <v>25</v>
      </c>
      <c r="AC34" s="1">
        <v>25</v>
      </c>
      <c r="AD34" s="48">
        <v>25</v>
      </c>
      <c r="AE34" s="48">
        <v>25</v>
      </c>
      <c r="AF34" s="185">
        <v>1</v>
      </c>
      <c r="AG34" s="192"/>
      <c r="AH34" s="193"/>
      <c r="AI34" s="5" t="s">
        <v>155</v>
      </c>
      <c r="AJ34" s="23">
        <v>42</v>
      </c>
      <c r="AK34" s="32">
        <v>20</v>
      </c>
      <c r="AL34" s="1">
        <v>4</v>
      </c>
      <c r="AM34" s="74" t="s">
        <v>203</v>
      </c>
      <c r="AN34" s="10" t="s">
        <v>192</v>
      </c>
      <c r="AO34" s="221"/>
      <c r="AP34" s="221"/>
      <c r="AQ34" s="281"/>
      <c r="AR34" s="281"/>
      <c r="AS34" s="192"/>
      <c r="AT34" s="282"/>
      <c r="AU34" s="223"/>
      <c r="AV34" s="225"/>
      <c r="AW34" s="90"/>
      <c r="AX34" s="32" t="s">
        <v>316</v>
      </c>
      <c r="AY34" s="283" t="s">
        <v>421</v>
      </c>
      <c r="AZ34" s="249"/>
    </row>
    <row r="35" spans="1:52" ht="375" customHeight="1" x14ac:dyDescent="0.2">
      <c r="A35" s="110"/>
      <c r="B35" s="110"/>
      <c r="C35" s="110"/>
      <c r="D35" s="110"/>
      <c r="E35" s="92"/>
      <c r="F35" s="93"/>
      <c r="G35" s="93"/>
      <c r="H35" s="94"/>
      <c r="I35" s="128"/>
      <c r="J35" s="34" t="s">
        <v>92</v>
      </c>
      <c r="K35" s="245">
        <v>90</v>
      </c>
      <c r="L35" s="1">
        <v>50</v>
      </c>
      <c r="M35" s="20">
        <f>42+20</f>
        <v>62</v>
      </c>
      <c r="N35" s="1">
        <f>+L35+5</f>
        <v>55</v>
      </c>
      <c r="O35" s="1">
        <f t="shared" ref="O35:Q35" si="7">+M35+5</f>
        <v>67</v>
      </c>
      <c r="P35" s="1">
        <f t="shared" si="7"/>
        <v>60</v>
      </c>
      <c r="Q35" s="1">
        <f t="shared" si="7"/>
        <v>72</v>
      </c>
      <c r="R35" s="1">
        <v>27</v>
      </c>
      <c r="S35" s="1">
        <v>27</v>
      </c>
      <c r="T35" s="1">
        <v>5</v>
      </c>
      <c r="U35" s="48">
        <v>7</v>
      </c>
      <c r="V35" s="1">
        <v>39</v>
      </c>
      <c r="W35" s="251">
        <v>1</v>
      </c>
      <c r="X35" s="167"/>
      <c r="Y35" s="272"/>
      <c r="Z35" s="131"/>
      <c r="AA35" s="1">
        <v>27</v>
      </c>
      <c r="AB35" s="1">
        <v>27</v>
      </c>
      <c r="AC35" s="1">
        <v>5</v>
      </c>
      <c r="AD35" s="48">
        <v>7</v>
      </c>
      <c r="AE35" s="48">
        <v>39</v>
      </c>
      <c r="AF35" s="185">
        <v>1</v>
      </c>
      <c r="AG35" s="198"/>
      <c r="AH35" s="193"/>
      <c r="AI35" s="5" t="s">
        <v>156</v>
      </c>
      <c r="AJ35" s="23">
        <v>42</v>
      </c>
      <c r="AK35" s="32">
        <v>20</v>
      </c>
      <c r="AL35" s="1">
        <f>80-62</f>
        <v>18</v>
      </c>
      <c r="AM35" s="74" t="s">
        <v>203</v>
      </c>
      <c r="AN35" s="10" t="s">
        <v>192</v>
      </c>
      <c r="AO35" s="217" t="s">
        <v>357</v>
      </c>
      <c r="AP35" s="217" t="s">
        <v>290</v>
      </c>
      <c r="AQ35" s="276">
        <v>7580142324</v>
      </c>
      <c r="AR35" s="276">
        <v>3256624843</v>
      </c>
      <c r="AS35" s="192"/>
      <c r="AT35" s="284"/>
      <c r="AU35" s="216"/>
      <c r="AV35" s="227"/>
      <c r="AW35" s="91"/>
      <c r="AX35" s="32" t="s">
        <v>422</v>
      </c>
      <c r="AY35" s="285" t="s">
        <v>423</v>
      </c>
      <c r="AZ35" s="249"/>
    </row>
    <row r="36" spans="1:52" ht="168.75" customHeight="1" x14ac:dyDescent="0.2">
      <c r="A36" s="110"/>
      <c r="B36" s="110"/>
      <c r="C36" s="110"/>
      <c r="D36" s="110"/>
      <c r="E36" s="95"/>
      <c r="F36" s="96"/>
      <c r="G36" s="96"/>
      <c r="H36" s="97"/>
      <c r="I36" s="82" t="s">
        <v>50</v>
      </c>
      <c r="J36" s="132" t="s">
        <v>123</v>
      </c>
      <c r="K36" s="133">
        <v>0.03</v>
      </c>
      <c r="L36" s="254" t="s">
        <v>225</v>
      </c>
      <c r="M36" s="107">
        <v>2.7E-2</v>
      </c>
      <c r="N36" s="1">
        <v>0.05</v>
      </c>
      <c r="O36" s="1">
        <v>1.4999999999999999E-2</v>
      </c>
      <c r="P36" s="254">
        <v>2.5000000000000001E-2</v>
      </c>
      <c r="Q36" s="1">
        <v>0.03</v>
      </c>
      <c r="R36" s="254">
        <v>0</v>
      </c>
      <c r="S36" s="254">
        <v>0</v>
      </c>
      <c r="T36" s="254">
        <v>0</v>
      </c>
      <c r="U36" s="254">
        <v>0</v>
      </c>
      <c r="V36" s="254">
        <f t="shared" si="0"/>
        <v>0</v>
      </c>
      <c r="W36" s="80">
        <f t="shared" si="2"/>
        <v>0.9</v>
      </c>
      <c r="X36" s="80">
        <f>+W36</f>
        <v>0.9</v>
      </c>
      <c r="Y36" s="272"/>
      <c r="Z36" s="82" t="s">
        <v>50</v>
      </c>
      <c r="AA36" s="254">
        <v>0</v>
      </c>
      <c r="AB36" s="254">
        <v>0</v>
      </c>
      <c r="AC36" s="254">
        <v>0</v>
      </c>
      <c r="AD36" s="155">
        <v>0</v>
      </c>
      <c r="AE36" s="155">
        <f>SUM(AA36:AC36)</f>
        <v>0</v>
      </c>
      <c r="AF36" s="209">
        <v>0</v>
      </c>
      <c r="AG36" s="209">
        <f>+AF36</f>
        <v>0</v>
      </c>
      <c r="AH36" s="193"/>
      <c r="AI36" s="132" t="s">
        <v>157</v>
      </c>
      <c r="AJ36" s="76">
        <v>1.11E-2</v>
      </c>
      <c r="AK36" s="78">
        <v>2.7E-2</v>
      </c>
      <c r="AL36" s="80">
        <v>2.5000000000000001E-2</v>
      </c>
      <c r="AM36" s="82" t="s">
        <v>203</v>
      </c>
      <c r="AN36" s="82" t="s">
        <v>196</v>
      </c>
      <c r="AO36" s="277"/>
      <c r="AP36" s="277"/>
      <c r="AQ36" s="278"/>
      <c r="AR36" s="278"/>
      <c r="AS36" s="192"/>
      <c r="AT36" s="286" t="s">
        <v>204</v>
      </c>
      <c r="AU36" s="213" t="s">
        <v>208</v>
      </c>
      <c r="AV36" s="157">
        <v>1222354083</v>
      </c>
      <c r="AW36" s="157">
        <v>54000000</v>
      </c>
      <c r="AX36" s="82" t="s">
        <v>261</v>
      </c>
      <c r="AY36" s="287" t="s">
        <v>317</v>
      </c>
      <c r="AZ36" s="249"/>
    </row>
    <row r="37" spans="1:52" ht="168.75" customHeight="1" x14ac:dyDescent="0.2">
      <c r="A37" s="110"/>
      <c r="B37" s="110"/>
      <c r="C37" s="110"/>
      <c r="D37" s="110"/>
      <c r="E37" s="95"/>
      <c r="F37" s="96"/>
      <c r="G37" s="96"/>
      <c r="H37" s="97"/>
      <c r="I37" s="83"/>
      <c r="J37" s="131"/>
      <c r="K37" s="134"/>
      <c r="L37" s="260"/>
      <c r="M37" s="108"/>
      <c r="N37" s="1"/>
      <c r="O37" s="1"/>
      <c r="P37" s="260"/>
      <c r="Q37" s="1"/>
      <c r="R37" s="260"/>
      <c r="S37" s="260"/>
      <c r="T37" s="260"/>
      <c r="U37" s="260"/>
      <c r="V37" s="260"/>
      <c r="W37" s="81"/>
      <c r="X37" s="81"/>
      <c r="Y37" s="272"/>
      <c r="Z37" s="83"/>
      <c r="AA37" s="260"/>
      <c r="AB37" s="260"/>
      <c r="AC37" s="260"/>
      <c r="AD37" s="156"/>
      <c r="AE37" s="156"/>
      <c r="AF37" s="198"/>
      <c r="AG37" s="198"/>
      <c r="AH37" s="193"/>
      <c r="AI37" s="131"/>
      <c r="AJ37" s="77"/>
      <c r="AK37" s="79"/>
      <c r="AL37" s="81"/>
      <c r="AM37" s="83"/>
      <c r="AN37" s="83"/>
      <c r="AO37" s="277"/>
      <c r="AP37" s="277"/>
      <c r="AQ37" s="278"/>
      <c r="AR37" s="278"/>
      <c r="AS37" s="192"/>
      <c r="AT37" s="288"/>
      <c r="AU37" s="216"/>
      <c r="AV37" s="158"/>
      <c r="AW37" s="158"/>
      <c r="AX37" s="83"/>
      <c r="AY37" s="289"/>
      <c r="AZ37" s="249"/>
    </row>
    <row r="38" spans="1:52" ht="165" customHeight="1" x14ac:dyDescent="0.2">
      <c r="A38" s="110"/>
      <c r="B38" s="110"/>
      <c r="C38" s="110"/>
      <c r="D38" s="110"/>
      <c r="E38" s="95"/>
      <c r="F38" s="96"/>
      <c r="G38" s="96"/>
      <c r="H38" s="97"/>
      <c r="I38" s="126" t="s">
        <v>51</v>
      </c>
      <c r="J38" s="34" t="s">
        <v>93</v>
      </c>
      <c r="K38" s="245">
        <v>16</v>
      </c>
      <c r="L38" s="1">
        <v>10</v>
      </c>
      <c r="M38" s="16">
        <v>9</v>
      </c>
      <c r="N38" s="1">
        <v>2</v>
      </c>
      <c r="O38" s="1">
        <v>3</v>
      </c>
      <c r="P38" s="1">
        <v>3</v>
      </c>
      <c r="Q38" s="1">
        <v>8</v>
      </c>
      <c r="R38" s="1">
        <v>3</v>
      </c>
      <c r="S38" s="1">
        <v>0</v>
      </c>
      <c r="T38" s="1">
        <v>0</v>
      </c>
      <c r="U38" s="48">
        <v>0</v>
      </c>
      <c r="V38" s="1">
        <f t="shared" si="0"/>
        <v>3</v>
      </c>
      <c r="W38" s="251">
        <f t="shared" si="2"/>
        <v>0.75</v>
      </c>
      <c r="X38" s="165">
        <f>AVERAGE(W38:W39)</f>
        <v>0.7533783783783784</v>
      </c>
      <c r="Y38" s="272"/>
      <c r="Z38" s="126" t="s">
        <v>51</v>
      </c>
      <c r="AA38" s="1">
        <v>3</v>
      </c>
      <c r="AB38" s="1">
        <v>0</v>
      </c>
      <c r="AC38" s="1">
        <v>0</v>
      </c>
      <c r="AD38" s="48">
        <v>0</v>
      </c>
      <c r="AE38" s="48">
        <f>+AC38+AA38</f>
        <v>3</v>
      </c>
      <c r="AF38" s="185">
        <f>+AE38/AL38</f>
        <v>0.6</v>
      </c>
      <c r="AG38" s="209">
        <f>AVERAGE(AF38:AF39)</f>
        <v>0.8</v>
      </c>
      <c r="AH38" s="193"/>
      <c r="AI38" s="5" t="s">
        <v>158</v>
      </c>
      <c r="AJ38" s="23">
        <v>5</v>
      </c>
      <c r="AK38" s="32">
        <v>4</v>
      </c>
      <c r="AL38" s="1">
        <f>(5-2)+(3-4)+3</f>
        <v>5</v>
      </c>
      <c r="AM38" s="74" t="s">
        <v>203</v>
      </c>
      <c r="AN38" s="10" t="s">
        <v>193</v>
      </c>
      <c r="AO38" s="277"/>
      <c r="AP38" s="277"/>
      <c r="AQ38" s="278"/>
      <c r="AR38" s="278"/>
      <c r="AS38" s="192"/>
      <c r="AT38" s="213" t="s">
        <v>204</v>
      </c>
      <c r="AU38" s="213" t="s">
        <v>206</v>
      </c>
      <c r="AV38" s="220">
        <v>44000000</v>
      </c>
      <c r="AW38" s="220">
        <v>38500000</v>
      </c>
      <c r="AX38" s="32" t="s">
        <v>236</v>
      </c>
      <c r="AY38" s="285" t="s">
        <v>236</v>
      </c>
      <c r="AZ38" s="249"/>
    </row>
    <row r="39" spans="1:52" ht="157.5" customHeight="1" x14ac:dyDescent="0.2">
      <c r="A39" s="110"/>
      <c r="B39" s="110"/>
      <c r="C39" s="110"/>
      <c r="D39" s="110"/>
      <c r="E39" s="95"/>
      <c r="F39" s="96"/>
      <c r="G39" s="96"/>
      <c r="H39" s="97"/>
      <c r="I39" s="128"/>
      <c r="J39" s="34" t="s">
        <v>94</v>
      </c>
      <c r="K39" s="245">
        <v>37</v>
      </c>
      <c r="L39" s="1">
        <v>15</v>
      </c>
      <c r="M39" s="16">
        <f>5+15</f>
        <v>20</v>
      </c>
      <c r="N39" s="1">
        <v>5</v>
      </c>
      <c r="O39" s="1">
        <v>10</v>
      </c>
      <c r="P39" s="1">
        <v>10</v>
      </c>
      <c r="Q39" s="1">
        <v>12</v>
      </c>
      <c r="R39" s="1">
        <v>3</v>
      </c>
      <c r="S39" s="1">
        <v>5</v>
      </c>
      <c r="T39" s="1">
        <v>0</v>
      </c>
      <c r="U39" s="48">
        <v>0</v>
      </c>
      <c r="V39" s="1">
        <f t="shared" si="0"/>
        <v>8</v>
      </c>
      <c r="W39" s="251">
        <f t="shared" si="2"/>
        <v>0.7567567567567568</v>
      </c>
      <c r="X39" s="167"/>
      <c r="Y39" s="272"/>
      <c r="Z39" s="128"/>
      <c r="AA39" s="1">
        <v>3</v>
      </c>
      <c r="AB39" s="1">
        <v>5</v>
      </c>
      <c r="AC39" s="1">
        <v>0</v>
      </c>
      <c r="AD39" s="48">
        <v>0</v>
      </c>
      <c r="AE39" s="48">
        <f>+AA39+AB39+AC39</f>
        <v>8</v>
      </c>
      <c r="AF39" s="185">
        <v>1</v>
      </c>
      <c r="AG39" s="198"/>
      <c r="AH39" s="193"/>
      <c r="AI39" s="5" t="s">
        <v>159</v>
      </c>
      <c r="AJ39" s="23">
        <v>5</v>
      </c>
      <c r="AK39" s="32">
        <v>15</v>
      </c>
      <c r="AL39" s="1">
        <f>(5-5)+(10-15)+10</f>
        <v>5</v>
      </c>
      <c r="AM39" s="74" t="s">
        <v>203</v>
      </c>
      <c r="AN39" s="10" t="s">
        <v>193</v>
      </c>
      <c r="AO39" s="277"/>
      <c r="AP39" s="277"/>
      <c r="AQ39" s="278"/>
      <c r="AR39" s="278"/>
      <c r="AS39" s="192"/>
      <c r="AT39" s="216"/>
      <c r="AU39" s="216"/>
      <c r="AV39" s="227"/>
      <c r="AW39" s="227"/>
      <c r="AX39" s="32" t="s">
        <v>295</v>
      </c>
      <c r="AY39" s="285" t="s">
        <v>295</v>
      </c>
      <c r="AZ39" s="249"/>
    </row>
    <row r="40" spans="1:52" ht="84.75" customHeight="1" x14ac:dyDescent="0.2">
      <c r="A40" s="110"/>
      <c r="B40" s="110"/>
      <c r="C40" s="110"/>
      <c r="D40" s="110"/>
      <c r="E40" s="95"/>
      <c r="F40" s="96"/>
      <c r="G40" s="96"/>
      <c r="H40" s="97"/>
      <c r="I40" s="149" t="s">
        <v>52</v>
      </c>
      <c r="J40" s="34" t="s">
        <v>95</v>
      </c>
      <c r="K40" s="245">
        <v>9</v>
      </c>
      <c r="L40" s="1">
        <v>12</v>
      </c>
      <c r="M40" s="20">
        <v>11.5</v>
      </c>
      <c r="N40" s="1">
        <v>11.5</v>
      </c>
      <c r="O40" s="1">
        <v>11</v>
      </c>
      <c r="P40" s="1">
        <v>10</v>
      </c>
      <c r="Q40" s="1">
        <v>9</v>
      </c>
      <c r="R40" s="33">
        <v>0</v>
      </c>
      <c r="S40" s="33">
        <v>11.5</v>
      </c>
      <c r="T40" s="33">
        <v>11.5</v>
      </c>
      <c r="U40" s="48">
        <v>11.5</v>
      </c>
      <c r="V40" s="1">
        <f>+U40</f>
        <v>11.5</v>
      </c>
      <c r="W40" s="251">
        <v>1</v>
      </c>
      <c r="X40" s="165">
        <f>AVERAGE(W40:W43)</f>
        <v>0.76812500000000006</v>
      </c>
      <c r="Y40" s="272"/>
      <c r="Z40" s="149" t="s">
        <v>52</v>
      </c>
      <c r="AA40" s="33">
        <v>0</v>
      </c>
      <c r="AB40" s="33">
        <v>11.5</v>
      </c>
      <c r="AC40" s="33">
        <v>11.5</v>
      </c>
      <c r="AD40" s="48">
        <v>11.5</v>
      </c>
      <c r="AE40" s="48">
        <f>+AC40</f>
        <v>11.5</v>
      </c>
      <c r="AF40" s="185">
        <f>+((11.5-11.5)/(11.5-10))</f>
        <v>0</v>
      </c>
      <c r="AG40" s="209">
        <f>AVERAGE(AF40:AF43)</f>
        <v>0.45611111111111113</v>
      </c>
      <c r="AH40" s="193"/>
      <c r="AI40" s="5" t="s">
        <v>160</v>
      </c>
      <c r="AJ40" s="23">
        <v>11.5</v>
      </c>
      <c r="AK40" s="32">
        <v>11.5</v>
      </c>
      <c r="AL40" s="1">
        <v>10</v>
      </c>
      <c r="AM40" s="74" t="s">
        <v>203</v>
      </c>
      <c r="AN40" s="10" t="s">
        <v>194</v>
      </c>
      <c r="AO40" s="277"/>
      <c r="AP40" s="277"/>
      <c r="AQ40" s="278"/>
      <c r="AR40" s="278"/>
      <c r="AS40" s="192"/>
      <c r="AT40" s="213" t="s">
        <v>204</v>
      </c>
      <c r="AU40" s="213" t="s">
        <v>207</v>
      </c>
      <c r="AV40" s="220">
        <v>5843952027.0500002</v>
      </c>
      <c r="AW40" s="89">
        <v>2389519279.0500002</v>
      </c>
      <c r="AX40" s="32" t="s">
        <v>237</v>
      </c>
      <c r="AY40" s="285" t="s">
        <v>237</v>
      </c>
      <c r="AZ40" s="249"/>
    </row>
    <row r="41" spans="1:52" ht="108" customHeight="1" x14ac:dyDescent="0.2">
      <c r="A41" s="110"/>
      <c r="B41" s="110"/>
      <c r="C41" s="110"/>
      <c r="D41" s="110"/>
      <c r="E41" s="95"/>
      <c r="F41" s="96"/>
      <c r="G41" s="96"/>
      <c r="H41" s="97"/>
      <c r="I41" s="151"/>
      <c r="J41" s="34" t="s">
        <v>96</v>
      </c>
      <c r="K41" s="245">
        <v>400</v>
      </c>
      <c r="L41" s="1">
        <v>3664</v>
      </c>
      <c r="M41" s="16">
        <v>120</v>
      </c>
      <c r="N41" s="1">
        <v>36</v>
      </c>
      <c r="O41" s="1">
        <v>150</v>
      </c>
      <c r="P41" s="1">
        <v>100</v>
      </c>
      <c r="Q41" s="1">
        <v>114</v>
      </c>
      <c r="R41" s="1">
        <v>32</v>
      </c>
      <c r="S41" s="1">
        <v>0</v>
      </c>
      <c r="T41" s="1">
        <v>21</v>
      </c>
      <c r="U41" s="48">
        <v>0</v>
      </c>
      <c r="V41" s="1">
        <f t="shared" si="0"/>
        <v>53</v>
      </c>
      <c r="W41" s="251">
        <f t="shared" si="2"/>
        <v>0.4325</v>
      </c>
      <c r="X41" s="166"/>
      <c r="Y41" s="272"/>
      <c r="Z41" s="151"/>
      <c r="AA41" s="1">
        <v>32</v>
      </c>
      <c r="AB41" s="1">
        <v>0</v>
      </c>
      <c r="AC41" s="65">
        <f>53-32</f>
        <v>21</v>
      </c>
      <c r="AD41" s="59">
        <v>0</v>
      </c>
      <c r="AE41" s="59">
        <f>+AC41+AA41+AB41</f>
        <v>53</v>
      </c>
      <c r="AF41" s="185">
        <f>+AE41/AL41</f>
        <v>0.53</v>
      </c>
      <c r="AG41" s="192"/>
      <c r="AH41" s="193"/>
      <c r="AI41" s="5" t="s">
        <v>161</v>
      </c>
      <c r="AJ41" s="23">
        <v>4262</v>
      </c>
      <c r="AK41" s="32">
        <v>120</v>
      </c>
      <c r="AL41" s="1">
        <v>100</v>
      </c>
      <c r="AM41" s="74" t="s">
        <v>203</v>
      </c>
      <c r="AN41" s="10" t="s">
        <v>194</v>
      </c>
      <c r="AO41" s="277"/>
      <c r="AP41" s="277"/>
      <c r="AQ41" s="278"/>
      <c r="AR41" s="278"/>
      <c r="AS41" s="192"/>
      <c r="AT41" s="223"/>
      <c r="AU41" s="223"/>
      <c r="AV41" s="225"/>
      <c r="AW41" s="90"/>
      <c r="AX41" s="290" t="s">
        <v>253</v>
      </c>
      <c r="AY41" s="283" t="s">
        <v>253</v>
      </c>
      <c r="AZ41" s="249"/>
    </row>
    <row r="42" spans="1:52" ht="121.5" customHeight="1" x14ac:dyDescent="0.2">
      <c r="A42" s="110"/>
      <c r="B42" s="110"/>
      <c r="C42" s="110"/>
      <c r="D42" s="110"/>
      <c r="E42" s="95"/>
      <c r="F42" s="96"/>
      <c r="G42" s="96"/>
      <c r="H42" s="97"/>
      <c r="I42" s="151"/>
      <c r="J42" s="34" t="s">
        <v>97</v>
      </c>
      <c r="K42" s="245">
        <v>300</v>
      </c>
      <c r="L42" s="1" t="s">
        <v>225</v>
      </c>
      <c r="M42" s="16">
        <v>107</v>
      </c>
      <c r="N42" s="1">
        <v>50</v>
      </c>
      <c r="O42" s="1">
        <v>100</v>
      </c>
      <c r="P42" s="1">
        <v>80</v>
      </c>
      <c r="Q42" s="1">
        <v>70</v>
      </c>
      <c r="R42" s="1">
        <v>32</v>
      </c>
      <c r="S42" s="1">
        <v>0</v>
      </c>
      <c r="T42" s="1">
        <v>53</v>
      </c>
      <c r="U42" s="48">
        <v>0</v>
      </c>
      <c r="V42" s="1">
        <f t="shared" si="0"/>
        <v>85</v>
      </c>
      <c r="W42" s="251">
        <f t="shared" si="2"/>
        <v>0.64</v>
      </c>
      <c r="X42" s="166"/>
      <c r="Y42" s="272"/>
      <c r="Z42" s="151"/>
      <c r="AA42" s="1">
        <v>32</v>
      </c>
      <c r="AB42" s="1">
        <v>0</v>
      </c>
      <c r="AC42" s="65">
        <f>53-32</f>
        <v>21</v>
      </c>
      <c r="AD42" s="59">
        <v>0</v>
      </c>
      <c r="AE42" s="59">
        <f>+AC42+AA42</f>
        <v>53</v>
      </c>
      <c r="AF42" s="185">
        <f>+AE42/AL42</f>
        <v>0.29444444444444445</v>
      </c>
      <c r="AG42" s="192"/>
      <c r="AH42" s="193"/>
      <c r="AI42" s="5" t="s">
        <v>162</v>
      </c>
      <c r="AJ42" s="25">
        <v>107</v>
      </c>
      <c r="AK42" s="32">
        <v>0</v>
      </c>
      <c r="AL42" s="1">
        <f>(107-50)+(100-(107-50))+80</f>
        <v>180</v>
      </c>
      <c r="AM42" s="74" t="s">
        <v>203</v>
      </c>
      <c r="AN42" s="10" t="s">
        <v>194</v>
      </c>
      <c r="AO42" s="277"/>
      <c r="AP42" s="277"/>
      <c r="AQ42" s="278"/>
      <c r="AR42" s="278"/>
      <c r="AS42" s="192"/>
      <c r="AT42" s="223"/>
      <c r="AU42" s="223"/>
      <c r="AV42" s="225"/>
      <c r="AW42" s="90"/>
      <c r="AX42" s="290" t="s">
        <v>254</v>
      </c>
      <c r="AY42" s="283" t="s">
        <v>254</v>
      </c>
      <c r="AZ42" s="249"/>
    </row>
    <row r="43" spans="1:52" ht="92.25" customHeight="1" x14ac:dyDescent="0.2">
      <c r="A43" s="110"/>
      <c r="B43" s="110"/>
      <c r="C43" s="110"/>
      <c r="D43" s="110"/>
      <c r="E43" s="95"/>
      <c r="F43" s="96"/>
      <c r="G43" s="96"/>
      <c r="H43" s="97"/>
      <c r="I43" s="150"/>
      <c r="J43" s="34" t="s">
        <v>98</v>
      </c>
      <c r="K43" s="245">
        <v>3000</v>
      </c>
      <c r="L43" s="1" t="s">
        <v>225</v>
      </c>
      <c r="M43" s="20">
        <v>5042</v>
      </c>
      <c r="N43" s="1">
        <v>200</v>
      </c>
      <c r="O43" s="1">
        <v>800</v>
      </c>
      <c r="P43" s="1">
        <v>1000</v>
      </c>
      <c r="Q43" s="1">
        <v>1000</v>
      </c>
      <c r="R43" s="1">
        <v>7755</v>
      </c>
      <c r="S43" s="1">
        <v>11728</v>
      </c>
      <c r="T43" s="1">
        <v>11728</v>
      </c>
      <c r="U43" s="48">
        <v>11728</v>
      </c>
      <c r="V43" s="1">
        <f>+U43</f>
        <v>11728</v>
      </c>
      <c r="W43" s="251">
        <v>1</v>
      </c>
      <c r="X43" s="167"/>
      <c r="Y43" s="272"/>
      <c r="Z43" s="150"/>
      <c r="AA43" s="1">
        <v>7755</v>
      </c>
      <c r="AB43" s="1">
        <v>11728</v>
      </c>
      <c r="AC43" s="1">
        <v>11728</v>
      </c>
      <c r="AD43" s="48">
        <v>11728</v>
      </c>
      <c r="AE43" s="48">
        <f>+AC43</f>
        <v>11728</v>
      </c>
      <c r="AF43" s="185">
        <v>1</v>
      </c>
      <c r="AG43" s="198"/>
      <c r="AH43" s="193"/>
      <c r="AI43" s="5" t="s">
        <v>163</v>
      </c>
      <c r="AJ43" s="23">
        <v>2913</v>
      </c>
      <c r="AK43" s="32">
        <v>2129</v>
      </c>
      <c r="AL43" s="1">
        <v>1000</v>
      </c>
      <c r="AM43" s="74" t="s">
        <v>203</v>
      </c>
      <c r="AN43" s="10" t="s">
        <v>194</v>
      </c>
      <c r="AO43" s="221"/>
      <c r="AP43" s="221"/>
      <c r="AQ43" s="281"/>
      <c r="AR43" s="281"/>
      <c r="AS43" s="192"/>
      <c r="AT43" s="216"/>
      <c r="AU43" s="216"/>
      <c r="AV43" s="227"/>
      <c r="AW43" s="91"/>
      <c r="AX43" s="32" t="s">
        <v>218</v>
      </c>
      <c r="AY43" s="285" t="s">
        <v>218</v>
      </c>
      <c r="AZ43" s="249"/>
    </row>
    <row r="44" spans="1:52" ht="230.25" customHeight="1" x14ac:dyDescent="0.2">
      <c r="A44" s="110"/>
      <c r="B44" s="110"/>
      <c r="C44" s="110"/>
      <c r="D44" s="110"/>
      <c r="E44" s="95"/>
      <c r="F44" s="96"/>
      <c r="G44" s="96"/>
      <c r="H44" s="97"/>
      <c r="I44" s="126" t="s">
        <v>53</v>
      </c>
      <c r="J44" s="34" t="s">
        <v>99</v>
      </c>
      <c r="K44" s="245">
        <v>1</v>
      </c>
      <c r="L44" s="1">
        <v>0</v>
      </c>
      <c r="M44" s="20">
        <v>0</v>
      </c>
      <c r="N44" s="1">
        <v>0</v>
      </c>
      <c r="O44" s="1">
        <v>0.3</v>
      </c>
      <c r="P44" s="1">
        <v>0.7</v>
      </c>
      <c r="Q44" s="1">
        <v>0</v>
      </c>
      <c r="R44" s="1">
        <v>0</v>
      </c>
      <c r="S44" s="1">
        <v>0</v>
      </c>
      <c r="T44" s="1">
        <v>1</v>
      </c>
      <c r="U44" s="48">
        <v>1</v>
      </c>
      <c r="V44" s="1">
        <v>1</v>
      </c>
      <c r="W44" s="251">
        <f t="shared" si="2"/>
        <v>1</v>
      </c>
      <c r="X44" s="165">
        <f>+W44</f>
        <v>1</v>
      </c>
      <c r="Y44" s="272"/>
      <c r="Z44" s="126" t="s">
        <v>53</v>
      </c>
      <c r="AA44" s="1">
        <v>0</v>
      </c>
      <c r="AB44" s="1">
        <v>0</v>
      </c>
      <c r="AC44" s="1">
        <v>1</v>
      </c>
      <c r="AD44" s="48">
        <v>1</v>
      </c>
      <c r="AE44" s="48">
        <v>1</v>
      </c>
      <c r="AF44" s="185">
        <v>1</v>
      </c>
      <c r="AG44" s="209">
        <v>1</v>
      </c>
      <c r="AH44" s="193"/>
      <c r="AI44" s="5" t="s">
        <v>164</v>
      </c>
      <c r="AJ44" s="23">
        <v>0</v>
      </c>
      <c r="AK44" s="32">
        <v>0</v>
      </c>
      <c r="AL44" s="1">
        <v>0.7</v>
      </c>
      <c r="AM44" s="74" t="s">
        <v>203</v>
      </c>
      <c r="AN44" s="10" t="s">
        <v>195</v>
      </c>
      <c r="AO44" s="217" t="s">
        <v>356</v>
      </c>
      <c r="AP44" s="228" t="s">
        <v>355</v>
      </c>
      <c r="AQ44" s="276">
        <v>550000000</v>
      </c>
      <c r="AR44" s="276">
        <v>524463686</v>
      </c>
      <c r="AS44" s="192"/>
      <c r="AT44" s="279" t="s">
        <v>204</v>
      </c>
      <c r="AU44" s="213" t="s">
        <v>207</v>
      </c>
      <c r="AV44" s="220">
        <v>702000000</v>
      </c>
      <c r="AW44" s="213">
        <v>702000000</v>
      </c>
      <c r="AX44" s="234" t="s">
        <v>255</v>
      </c>
      <c r="AY44" s="234" t="s">
        <v>368</v>
      </c>
      <c r="AZ44" s="249"/>
    </row>
    <row r="45" spans="1:52" ht="169.5" customHeight="1" x14ac:dyDescent="0.2">
      <c r="A45" s="110"/>
      <c r="B45" s="110"/>
      <c r="C45" s="110"/>
      <c r="D45" s="110"/>
      <c r="E45" s="95"/>
      <c r="F45" s="96"/>
      <c r="G45" s="96"/>
      <c r="H45" s="97"/>
      <c r="I45" s="128"/>
      <c r="J45" s="34" t="s">
        <v>100</v>
      </c>
      <c r="K45" s="245">
        <v>15</v>
      </c>
      <c r="L45" s="1">
        <v>0</v>
      </c>
      <c r="M45" s="20">
        <v>0</v>
      </c>
      <c r="N45" s="1">
        <v>0</v>
      </c>
      <c r="O45" s="1">
        <v>0</v>
      </c>
      <c r="P45" s="1">
        <v>8</v>
      </c>
      <c r="Q45" s="1">
        <v>7</v>
      </c>
      <c r="R45" s="1">
        <v>0</v>
      </c>
      <c r="S45" s="1">
        <v>0</v>
      </c>
      <c r="T45" s="1">
        <v>54</v>
      </c>
      <c r="U45" s="48">
        <v>0</v>
      </c>
      <c r="V45" s="1">
        <f t="shared" si="0"/>
        <v>54</v>
      </c>
      <c r="W45" s="251">
        <v>1</v>
      </c>
      <c r="X45" s="167"/>
      <c r="Y45" s="272"/>
      <c r="Z45" s="128"/>
      <c r="AA45" s="1">
        <v>0</v>
      </c>
      <c r="AB45" s="1">
        <v>0</v>
      </c>
      <c r="AC45" s="1">
        <v>54</v>
      </c>
      <c r="AD45" s="48">
        <v>0</v>
      </c>
      <c r="AE45" s="48">
        <f>SUM(AA45:AD45)</f>
        <v>54</v>
      </c>
      <c r="AF45" s="185">
        <v>1</v>
      </c>
      <c r="AG45" s="198"/>
      <c r="AH45" s="193"/>
      <c r="AI45" s="5" t="s">
        <v>165</v>
      </c>
      <c r="AJ45" s="23">
        <v>0</v>
      </c>
      <c r="AK45" s="32">
        <v>0</v>
      </c>
      <c r="AL45" s="1">
        <v>8</v>
      </c>
      <c r="AM45" s="74" t="s">
        <v>203</v>
      </c>
      <c r="AN45" s="10" t="s">
        <v>195</v>
      </c>
      <c r="AO45" s="277"/>
      <c r="AP45" s="229"/>
      <c r="AQ45" s="278"/>
      <c r="AR45" s="278"/>
      <c r="AS45" s="192"/>
      <c r="AT45" s="284"/>
      <c r="AU45" s="216"/>
      <c r="AV45" s="227"/>
      <c r="AW45" s="216"/>
      <c r="AX45" s="234" t="s">
        <v>246</v>
      </c>
      <c r="AY45" s="235" t="s">
        <v>369</v>
      </c>
      <c r="AZ45" s="249"/>
    </row>
    <row r="46" spans="1:52" ht="109.5" customHeight="1" x14ac:dyDescent="0.2">
      <c r="A46" s="110"/>
      <c r="B46" s="110"/>
      <c r="C46" s="110"/>
      <c r="D46" s="110"/>
      <c r="E46" s="95"/>
      <c r="F46" s="96"/>
      <c r="G46" s="96"/>
      <c r="H46" s="97"/>
      <c r="I46" s="36" t="s">
        <v>54</v>
      </c>
      <c r="J46" s="5" t="s">
        <v>101</v>
      </c>
      <c r="K46" s="245">
        <v>52</v>
      </c>
      <c r="L46" s="1">
        <v>0</v>
      </c>
      <c r="M46" s="20">
        <v>12</v>
      </c>
      <c r="N46" s="1">
        <v>15</v>
      </c>
      <c r="O46" s="1">
        <v>10</v>
      </c>
      <c r="P46" s="1">
        <v>15</v>
      </c>
      <c r="Q46" s="1">
        <v>12</v>
      </c>
      <c r="R46" s="1">
        <v>0</v>
      </c>
      <c r="S46" s="1">
        <v>0</v>
      </c>
      <c r="T46" s="1">
        <v>0</v>
      </c>
      <c r="U46" s="48">
        <v>0</v>
      </c>
      <c r="V46" s="1">
        <f t="shared" si="0"/>
        <v>0</v>
      </c>
      <c r="W46" s="251">
        <f t="shared" si="2"/>
        <v>0.23076923076923078</v>
      </c>
      <c r="X46" s="73">
        <f>+W46</f>
        <v>0.23076923076923078</v>
      </c>
      <c r="Y46" s="272"/>
      <c r="Z46" s="36" t="s">
        <v>54</v>
      </c>
      <c r="AA46" s="1">
        <v>0</v>
      </c>
      <c r="AB46" s="1">
        <v>0</v>
      </c>
      <c r="AC46" s="1">
        <v>0</v>
      </c>
      <c r="AD46" s="48">
        <v>0</v>
      </c>
      <c r="AE46" s="48">
        <f>SUM(AA46:AD46)</f>
        <v>0</v>
      </c>
      <c r="AF46" s="185">
        <f>+AE46/AL46</f>
        <v>0</v>
      </c>
      <c r="AG46" s="185">
        <f>+AF46</f>
        <v>0</v>
      </c>
      <c r="AH46" s="193"/>
      <c r="AI46" s="5" t="s">
        <v>166</v>
      </c>
      <c r="AJ46" s="39">
        <v>12</v>
      </c>
      <c r="AK46" s="32">
        <v>0</v>
      </c>
      <c r="AL46" s="4">
        <f>(15-12)+(10-0)+15</f>
        <v>28</v>
      </c>
      <c r="AM46" s="74" t="s">
        <v>203</v>
      </c>
      <c r="AN46" s="10" t="s">
        <v>196</v>
      </c>
      <c r="AO46" s="277"/>
      <c r="AP46" s="229"/>
      <c r="AQ46" s="278"/>
      <c r="AR46" s="278"/>
      <c r="AS46" s="192"/>
      <c r="AT46" s="291" t="s">
        <v>204</v>
      </c>
      <c r="AU46" s="205" t="s">
        <v>209</v>
      </c>
      <c r="AV46" s="208">
        <v>0</v>
      </c>
      <c r="AW46" s="204">
        <v>0</v>
      </c>
      <c r="AX46" s="32" t="s">
        <v>247</v>
      </c>
      <c r="AY46" s="285" t="s">
        <v>247</v>
      </c>
      <c r="AZ46" s="249"/>
    </row>
    <row r="47" spans="1:52" s="30" customFormat="1" ht="195.75" customHeight="1" x14ac:dyDescent="0.2">
      <c r="A47" s="110"/>
      <c r="B47" s="110"/>
      <c r="C47" s="110"/>
      <c r="D47" s="110"/>
      <c r="E47" s="95"/>
      <c r="F47" s="96"/>
      <c r="G47" s="96"/>
      <c r="H47" s="97"/>
      <c r="I47" s="36" t="s">
        <v>55</v>
      </c>
      <c r="J47" s="34" t="s">
        <v>102</v>
      </c>
      <c r="K47" s="245">
        <v>60</v>
      </c>
      <c r="L47" s="1">
        <v>40</v>
      </c>
      <c r="M47" s="20">
        <v>47</v>
      </c>
      <c r="N47" s="1">
        <v>3</v>
      </c>
      <c r="O47" s="1">
        <v>5</v>
      </c>
      <c r="P47" s="1">
        <v>4</v>
      </c>
      <c r="Q47" s="1">
        <v>8</v>
      </c>
      <c r="R47" s="1">
        <v>0</v>
      </c>
      <c r="S47" s="1">
        <v>4</v>
      </c>
      <c r="T47" s="1">
        <v>37</v>
      </c>
      <c r="U47" s="48">
        <v>0</v>
      </c>
      <c r="V47" s="1">
        <f>+R47+S47+T47+U47</f>
        <v>41</v>
      </c>
      <c r="W47" s="251">
        <v>1</v>
      </c>
      <c r="X47" s="73">
        <f>+W47</f>
        <v>1</v>
      </c>
      <c r="Y47" s="272"/>
      <c r="Z47" s="36" t="s">
        <v>55</v>
      </c>
      <c r="AA47" s="1">
        <v>0</v>
      </c>
      <c r="AB47" s="1">
        <v>4</v>
      </c>
      <c r="AC47" s="1">
        <v>37</v>
      </c>
      <c r="AD47" s="48">
        <v>0</v>
      </c>
      <c r="AE47" s="48">
        <f>SUM(AA47:AC47)</f>
        <v>41</v>
      </c>
      <c r="AF47" s="185">
        <v>1</v>
      </c>
      <c r="AG47" s="185">
        <f>+AF47</f>
        <v>1</v>
      </c>
      <c r="AH47" s="193"/>
      <c r="AI47" s="5" t="s">
        <v>167</v>
      </c>
      <c r="AJ47" s="23">
        <v>40</v>
      </c>
      <c r="AK47" s="32">
        <v>7</v>
      </c>
      <c r="AL47" s="1">
        <v>4</v>
      </c>
      <c r="AM47" s="74" t="s">
        <v>203</v>
      </c>
      <c r="AN47" s="10" t="s">
        <v>196</v>
      </c>
      <c r="AO47" s="277"/>
      <c r="AP47" s="229"/>
      <c r="AQ47" s="278"/>
      <c r="AR47" s="278"/>
      <c r="AS47" s="192"/>
      <c r="AT47" s="291" t="s">
        <v>204</v>
      </c>
      <c r="AU47" s="205" t="s">
        <v>209</v>
      </c>
      <c r="AV47" s="208">
        <v>0</v>
      </c>
      <c r="AW47" s="204">
        <v>0</v>
      </c>
      <c r="AX47" s="175" t="s">
        <v>296</v>
      </c>
      <c r="AY47" s="274" t="s">
        <v>318</v>
      </c>
      <c r="AZ47" s="292"/>
    </row>
    <row r="48" spans="1:52" ht="210" customHeight="1" x14ac:dyDescent="0.2">
      <c r="A48" s="110"/>
      <c r="B48" s="110"/>
      <c r="C48" s="110"/>
      <c r="D48" s="83"/>
      <c r="E48" s="98"/>
      <c r="F48" s="99"/>
      <c r="G48" s="99"/>
      <c r="H48" s="100"/>
      <c r="I48" s="36" t="s">
        <v>56</v>
      </c>
      <c r="J48" s="34" t="s">
        <v>103</v>
      </c>
      <c r="K48" s="245">
        <v>60</v>
      </c>
      <c r="L48" s="1">
        <v>0</v>
      </c>
      <c r="M48" s="20">
        <v>44</v>
      </c>
      <c r="N48" s="1">
        <v>5</v>
      </c>
      <c r="O48" s="1">
        <v>15</v>
      </c>
      <c r="P48" s="1">
        <v>20</v>
      </c>
      <c r="Q48" s="1">
        <v>20</v>
      </c>
      <c r="R48" s="1">
        <v>38</v>
      </c>
      <c r="S48" s="1">
        <v>0</v>
      </c>
      <c r="T48" s="1">
        <v>38</v>
      </c>
      <c r="U48" s="48">
        <v>0</v>
      </c>
      <c r="V48" s="1">
        <f>+T48</f>
        <v>38</v>
      </c>
      <c r="W48" s="251">
        <v>1</v>
      </c>
      <c r="X48" s="73">
        <f>+W48</f>
        <v>1</v>
      </c>
      <c r="Y48" s="81"/>
      <c r="Z48" s="36" t="s">
        <v>56</v>
      </c>
      <c r="AA48" s="1">
        <v>38</v>
      </c>
      <c r="AB48" s="1">
        <v>0</v>
      </c>
      <c r="AC48" s="1">
        <v>38</v>
      </c>
      <c r="AD48" s="48">
        <v>0</v>
      </c>
      <c r="AE48" s="48">
        <f>+AC48</f>
        <v>38</v>
      </c>
      <c r="AF48" s="185">
        <v>1</v>
      </c>
      <c r="AG48" s="185">
        <f>+AF48</f>
        <v>1</v>
      </c>
      <c r="AH48" s="231"/>
      <c r="AI48" s="5" t="s">
        <v>168</v>
      </c>
      <c r="AJ48" s="23">
        <v>33</v>
      </c>
      <c r="AK48" s="32">
        <v>11</v>
      </c>
      <c r="AL48" s="1">
        <v>20</v>
      </c>
      <c r="AM48" s="74" t="s">
        <v>203</v>
      </c>
      <c r="AN48" s="10" t="s">
        <v>196</v>
      </c>
      <c r="AO48" s="221"/>
      <c r="AP48" s="232"/>
      <c r="AQ48" s="281"/>
      <c r="AR48" s="281"/>
      <c r="AS48" s="198"/>
      <c r="AT48" s="205" t="s">
        <v>204</v>
      </c>
      <c r="AU48" s="205" t="s">
        <v>209</v>
      </c>
      <c r="AV48" s="208">
        <v>0</v>
      </c>
      <c r="AW48" s="204">
        <v>0</v>
      </c>
      <c r="AX48" s="32" t="s">
        <v>238</v>
      </c>
      <c r="AY48" s="285" t="s">
        <v>319</v>
      </c>
      <c r="AZ48" s="249"/>
    </row>
    <row r="49" spans="1:52" ht="105" customHeight="1" x14ac:dyDescent="0.2">
      <c r="A49" s="110"/>
      <c r="B49" s="110"/>
      <c r="C49" s="110"/>
      <c r="D49" s="82" t="s">
        <v>26</v>
      </c>
      <c r="E49" s="132" t="s">
        <v>37</v>
      </c>
      <c r="F49" s="132" t="s">
        <v>225</v>
      </c>
      <c r="G49" s="146">
        <v>0.64</v>
      </c>
      <c r="H49" s="123">
        <v>0.91428571428571426</v>
      </c>
      <c r="I49" s="149" t="s">
        <v>57</v>
      </c>
      <c r="J49" s="5" t="s">
        <v>104</v>
      </c>
      <c r="K49" s="245">
        <v>1</v>
      </c>
      <c r="L49" s="1">
        <v>0</v>
      </c>
      <c r="M49" s="16">
        <v>0.25</v>
      </c>
      <c r="N49" s="1">
        <v>0</v>
      </c>
      <c r="O49" s="1">
        <v>0.2</v>
      </c>
      <c r="P49" s="1">
        <v>0.3</v>
      </c>
      <c r="Q49" s="1">
        <v>0.5</v>
      </c>
      <c r="R49" s="1">
        <v>0</v>
      </c>
      <c r="S49" s="1">
        <v>0</v>
      </c>
      <c r="T49" s="1">
        <v>0</v>
      </c>
      <c r="U49" s="48">
        <v>0</v>
      </c>
      <c r="V49" s="1">
        <f t="shared" si="0"/>
        <v>0</v>
      </c>
      <c r="W49" s="251">
        <f t="shared" si="2"/>
        <v>0.25</v>
      </c>
      <c r="X49" s="165">
        <f>AVERAGE(W49:W54)</f>
        <v>0.69351282051282048</v>
      </c>
      <c r="Y49" s="80">
        <f>+(X49+X55)/2</f>
        <v>0.82592307692307698</v>
      </c>
      <c r="Z49" s="149" t="s">
        <v>57</v>
      </c>
      <c r="AA49" s="1">
        <v>0</v>
      </c>
      <c r="AB49" s="1">
        <v>0</v>
      </c>
      <c r="AC49" s="1">
        <v>0</v>
      </c>
      <c r="AD49" s="48">
        <v>0</v>
      </c>
      <c r="AE49" s="48">
        <v>0</v>
      </c>
      <c r="AF49" s="185">
        <v>0</v>
      </c>
      <c r="AG49" s="209">
        <f>AVERAGE(AF49:AF54)</f>
        <v>0.58090909090909093</v>
      </c>
      <c r="AH49" s="267">
        <f>AVERAGE(AG49:AG57)</f>
        <v>0.74196969696969695</v>
      </c>
      <c r="AI49" s="5" t="s">
        <v>104</v>
      </c>
      <c r="AJ49" s="23">
        <v>0</v>
      </c>
      <c r="AK49" s="25">
        <v>0.25</v>
      </c>
      <c r="AL49" s="1">
        <v>0.3</v>
      </c>
      <c r="AM49" s="74" t="s">
        <v>203</v>
      </c>
      <c r="AN49" s="10" t="s">
        <v>197</v>
      </c>
      <c r="AO49" s="212" t="s">
        <v>358</v>
      </c>
      <c r="AP49" s="210" t="s">
        <v>285</v>
      </c>
      <c r="AQ49" s="293">
        <v>370616628</v>
      </c>
      <c r="AR49" s="293">
        <v>360546327</v>
      </c>
      <c r="AS49" s="209">
        <f>+((AR49+AR53)/(AQ49+AQ53))</f>
        <v>0.98065697394513496</v>
      </c>
      <c r="AT49" s="213" t="s">
        <v>204</v>
      </c>
      <c r="AU49" s="213" t="s">
        <v>209</v>
      </c>
      <c r="AV49" s="220">
        <v>653409500</v>
      </c>
      <c r="AW49" s="220">
        <v>318624033</v>
      </c>
      <c r="AX49" s="36" t="s">
        <v>281</v>
      </c>
      <c r="AY49" s="241"/>
      <c r="AZ49" s="249"/>
    </row>
    <row r="50" spans="1:52" ht="149.25" customHeight="1" x14ac:dyDescent="0.25">
      <c r="A50" s="110"/>
      <c r="B50" s="110"/>
      <c r="C50" s="110"/>
      <c r="D50" s="110"/>
      <c r="E50" s="136"/>
      <c r="F50" s="136"/>
      <c r="G50" s="147"/>
      <c r="H50" s="124"/>
      <c r="I50" s="151"/>
      <c r="J50" s="5" t="s">
        <v>105</v>
      </c>
      <c r="K50" s="245">
        <v>1</v>
      </c>
      <c r="L50" s="1">
        <v>0</v>
      </c>
      <c r="M50" s="16">
        <v>1</v>
      </c>
      <c r="N50" s="1">
        <v>0</v>
      </c>
      <c r="O50" s="1">
        <v>1</v>
      </c>
      <c r="P50" s="1">
        <v>0</v>
      </c>
      <c r="Q50" s="1">
        <v>0</v>
      </c>
      <c r="R50" s="1">
        <v>1</v>
      </c>
      <c r="S50" s="1">
        <v>1</v>
      </c>
      <c r="T50" s="1">
        <v>1</v>
      </c>
      <c r="U50" s="48">
        <v>0</v>
      </c>
      <c r="V50" s="1">
        <v>1</v>
      </c>
      <c r="W50" s="251">
        <v>1</v>
      </c>
      <c r="X50" s="166"/>
      <c r="Y50" s="272"/>
      <c r="Z50" s="151"/>
      <c r="AA50" s="1">
        <v>1</v>
      </c>
      <c r="AB50" s="1">
        <v>1</v>
      </c>
      <c r="AC50" s="1">
        <v>1</v>
      </c>
      <c r="AD50" s="48">
        <v>1</v>
      </c>
      <c r="AE50" s="48">
        <f>+AC50</f>
        <v>1</v>
      </c>
      <c r="AF50" s="185">
        <v>1</v>
      </c>
      <c r="AG50" s="192"/>
      <c r="AH50" s="193"/>
      <c r="AI50" s="5" t="s">
        <v>105</v>
      </c>
      <c r="AJ50" s="23">
        <v>1</v>
      </c>
      <c r="AK50" s="25">
        <v>0</v>
      </c>
      <c r="AL50" s="1">
        <v>1</v>
      </c>
      <c r="AM50" s="74" t="s">
        <v>203</v>
      </c>
      <c r="AN50" s="10" t="s">
        <v>198</v>
      </c>
      <c r="AO50" s="212"/>
      <c r="AP50" s="210"/>
      <c r="AQ50" s="293"/>
      <c r="AR50" s="293"/>
      <c r="AS50" s="192"/>
      <c r="AT50" s="223"/>
      <c r="AU50" s="223"/>
      <c r="AV50" s="225"/>
      <c r="AW50" s="225"/>
      <c r="AX50" s="236" t="s">
        <v>241</v>
      </c>
      <c r="AY50" s="237" t="s">
        <v>324</v>
      </c>
      <c r="AZ50" s="249"/>
    </row>
    <row r="51" spans="1:52" ht="84" customHeight="1" x14ac:dyDescent="0.2">
      <c r="A51" s="110"/>
      <c r="B51" s="110"/>
      <c r="C51" s="110"/>
      <c r="D51" s="110"/>
      <c r="E51" s="136"/>
      <c r="F51" s="136"/>
      <c r="G51" s="147"/>
      <c r="H51" s="124"/>
      <c r="I51" s="151"/>
      <c r="J51" s="5" t="s">
        <v>106</v>
      </c>
      <c r="K51" s="245">
        <v>15</v>
      </c>
      <c r="L51" s="1">
        <v>28</v>
      </c>
      <c r="M51" s="21">
        <v>15</v>
      </c>
      <c r="N51" s="1">
        <v>25</v>
      </c>
      <c r="O51" s="1">
        <v>15</v>
      </c>
      <c r="P51" s="1">
        <v>15</v>
      </c>
      <c r="Q51" s="1">
        <v>15</v>
      </c>
      <c r="R51" s="1">
        <v>14</v>
      </c>
      <c r="S51" s="1">
        <v>16</v>
      </c>
      <c r="T51" s="1">
        <v>14</v>
      </c>
      <c r="U51" s="48">
        <v>16</v>
      </c>
      <c r="V51" s="1">
        <f>+U51</f>
        <v>16</v>
      </c>
      <c r="W51" s="251">
        <f>+((28-16)/(28-15))</f>
        <v>0.92307692307692313</v>
      </c>
      <c r="X51" s="166"/>
      <c r="Y51" s="272"/>
      <c r="Z51" s="151"/>
      <c r="AA51" s="1">
        <v>14</v>
      </c>
      <c r="AB51" s="1">
        <v>16</v>
      </c>
      <c r="AC51" s="1">
        <v>14</v>
      </c>
      <c r="AD51" s="48">
        <v>16</v>
      </c>
      <c r="AE51" s="48">
        <v>16</v>
      </c>
      <c r="AF51" s="185">
        <f>+((15-15)/(15-16))</f>
        <v>0</v>
      </c>
      <c r="AG51" s="192"/>
      <c r="AH51" s="193"/>
      <c r="AI51" s="5" t="s">
        <v>106</v>
      </c>
      <c r="AJ51" s="40">
        <v>25</v>
      </c>
      <c r="AK51" s="29">
        <v>15</v>
      </c>
      <c r="AL51" s="294">
        <v>15</v>
      </c>
      <c r="AM51" s="74" t="s">
        <v>203</v>
      </c>
      <c r="AN51" s="10" t="s">
        <v>199</v>
      </c>
      <c r="AO51" s="212"/>
      <c r="AP51" s="210"/>
      <c r="AQ51" s="293"/>
      <c r="AR51" s="293"/>
      <c r="AS51" s="192"/>
      <c r="AT51" s="223"/>
      <c r="AU51" s="223"/>
      <c r="AV51" s="225"/>
      <c r="AW51" s="225"/>
      <c r="AX51" s="295" t="s">
        <v>242</v>
      </c>
      <c r="AY51" s="280" t="s">
        <v>320</v>
      </c>
      <c r="AZ51" s="249"/>
    </row>
    <row r="52" spans="1:52" ht="75" x14ac:dyDescent="0.2">
      <c r="A52" s="110"/>
      <c r="B52" s="110"/>
      <c r="C52" s="110"/>
      <c r="D52" s="110"/>
      <c r="E52" s="136"/>
      <c r="F52" s="136"/>
      <c r="G52" s="147"/>
      <c r="H52" s="124"/>
      <c r="I52" s="151"/>
      <c r="J52" s="5" t="s">
        <v>107</v>
      </c>
      <c r="K52" s="245">
        <f>300-50</f>
        <v>250</v>
      </c>
      <c r="L52" s="1">
        <v>50</v>
      </c>
      <c r="M52" s="16">
        <v>75</v>
      </c>
      <c r="N52" s="1">
        <v>30</v>
      </c>
      <c r="O52" s="1">
        <v>20</v>
      </c>
      <c r="P52" s="1">
        <v>50</v>
      </c>
      <c r="Q52" s="1">
        <v>150</v>
      </c>
      <c r="R52" s="1">
        <v>2</v>
      </c>
      <c r="S52" s="1">
        <v>0</v>
      </c>
      <c r="T52" s="1">
        <v>3</v>
      </c>
      <c r="U52" s="1">
        <v>42</v>
      </c>
      <c r="V52" s="1">
        <f t="shared" si="0"/>
        <v>47</v>
      </c>
      <c r="W52" s="251">
        <f t="shared" si="2"/>
        <v>0.48799999999999999</v>
      </c>
      <c r="X52" s="166"/>
      <c r="Y52" s="272"/>
      <c r="Z52" s="151"/>
      <c r="AA52" s="1">
        <v>2</v>
      </c>
      <c r="AB52" s="1">
        <v>0</v>
      </c>
      <c r="AC52" s="1">
        <v>3</v>
      </c>
      <c r="AD52" s="1">
        <v>42</v>
      </c>
      <c r="AE52" s="48">
        <f>AA52+AC52+AD52</f>
        <v>47</v>
      </c>
      <c r="AF52" s="185">
        <f>+AE52/AL52</f>
        <v>0.94</v>
      </c>
      <c r="AG52" s="192"/>
      <c r="AH52" s="193"/>
      <c r="AI52" s="5" t="s">
        <v>169</v>
      </c>
      <c r="AJ52" s="23">
        <v>0</v>
      </c>
      <c r="AK52" s="25">
        <v>75</v>
      </c>
      <c r="AL52" s="1">
        <f>150-100</f>
        <v>50</v>
      </c>
      <c r="AM52" s="74" t="s">
        <v>203</v>
      </c>
      <c r="AN52" s="10" t="s">
        <v>200</v>
      </c>
      <c r="AO52" s="212"/>
      <c r="AP52" s="210"/>
      <c r="AQ52" s="293"/>
      <c r="AR52" s="293"/>
      <c r="AS52" s="192"/>
      <c r="AT52" s="223"/>
      <c r="AU52" s="223"/>
      <c r="AV52" s="225"/>
      <c r="AW52" s="225"/>
      <c r="AX52" s="36" t="s">
        <v>262</v>
      </c>
      <c r="AY52" s="241" t="s">
        <v>325</v>
      </c>
      <c r="AZ52" s="249"/>
    </row>
    <row r="53" spans="1:52" ht="135.75" x14ac:dyDescent="0.25">
      <c r="A53" s="110"/>
      <c r="B53" s="110"/>
      <c r="C53" s="110"/>
      <c r="D53" s="110"/>
      <c r="E53" s="136"/>
      <c r="F53" s="136"/>
      <c r="G53" s="147"/>
      <c r="H53" s="124"/>
      <c r="I53" s="151"/>
      <c r="J53" s="5" t="s">
        <v>108</v>
      </c>
      <c r="K53" s="245">
        <v>1</v>
      </c>
      <c r="L53" s="1">
        <v>0</v>
      </c>
      <c r="M53" s="16">
        <v>1</v>
      </c>
      <c r="N53" s="1">
        <v>0</v>
      </c>
      <c r="O53" s="1">
        <v>0.4</v>
      </c>
      <c r="P53" s="1">
        <v>0.6</v>
      </c>
      <c r="Q53" s="1">
        <v>0</v>
      </c>
      <c r="R53" s="1">
        <v>1</v>
      </c>
      <c r="S53" s="1">
        <v>1</v>
      </c>
      <c r="T53" s="1">
        <v>1</v>
      </c>
      <c r="U53" s="1">
        <v>1</v>
      </c>
      <c r="V53" s="1">
        <v>1</v>
      </c>
      <c r="W53" s="251">
        <v>1</v>
      </c>
      <c r="X53" s="166"/>
      <c r="Y53" s="272"/>
      <c r="Z53" s="151"/>
      <c r="AA53" s="1">
        <v>1</v>
      </c>
      <c r="AB53" s="1">
        <v>1</v>
      </c>
      <c r="AC53" s="1">
        <v>1</v>
      </c>
      <c r="AD53" s="1">
        <v>1</v>
      </c>
      <c r="AE53" s="48">
        <f>+AC53</f>
        <v>1</v>
      </c>
      <c r="AF53" s="185">
        <v>1</v>
      </c>
      <c r="AG53" s="192"/>
      <c r="AH53" s="193"/>
      <c r="AI53" s="5" t="s">
        <v>108</v>
      </c>
      <c r="AJ53" s="23">
        <v>0</v>
      </c>
      <c r="AK53" s="25">
        <v>1</v>
      </c>
      <c r="AL53" s="1">
        <v>1</v>
      </c>
      <c r="AM53" s="74" t="s">
        <v>203</v>
      </c>
      <c r="AN53" s="10" t="s">
        <v>198</v>
      </c>
      <c r="AO53" s="228" t="s">
        <v>292</v>
      </c>
      <c r="AP53" s="228" t="s">
        <v>359</v>
      </c>
      <c r="AQ53" s="296">
        <v>150000000</v>
      </c>
      <c r="AR53" s="296">
        <v>150000000</v>
      </c>
      <c r="AS53" s="192"/>
      <c r="AT53" s="223"/>
      <c r="AU53" s="223"/>
      <c r="AV53" s="225"/>
      <c r="AW53" s="225"/>
      <c r="AX53" s="236" t="s">
        <v>243</v>
      </c>
      <c r="AY53" s="238" t="s">
        <v>321</v>
      </c>
      <c r="AZ53" s="249"/>
    </row>
    <row r="54" spans="1:52" ht="99" customHeight="1" x14ac:dyDescent="0.2">
      <c r="A54" s="110"/>
      <c r="B54" s="110"/>
      <c r="C54" s="110"/>
      <c r="D54" s="110"/>
      <c r="E54" s="131"/>
      <c r="F54" s="131"/>
      <c r="G54" s="148"/>
      <c r="H54" s="125"/>
      <c r="I54" s="150"/>
      <c r="J54" s="5" t="s">
        <v>109</v>
      </c>
      <c r="K54" s="245">
        <f>24</f>
        <v>24</v>
      </c>
      <c r="L54" s="1">
        <v>15</v>
      </c>
      <c r="M54" s="16">
        <v>16</v>
      </c>
      <c r="N54" s="1">
        <v>17</v>
      </c>
      <c r="O54" s="1">
        <v>19</v>
      </c>
      <c r="P54" s="1">
        <v>22</v>
      </c>
      <c r="Q54" s="1">
        <v>24</v>
      </c>
      <c r="R54" s="1">
        <v>0</v>
      </c>
      <c r="S54" s="1">
        <v>0</v>
      </c>
      <c r="T54" s="1">
        <v>0</v>
      </c>
      <c r="U54" s="1">
        <v>12</v>
      </c>
      <c r="V54" s="1">
        <f t="shared" si="0"/>
        <v>12</v>
      </c>
      <c r="W54" s="251">
        <f>+(V54)/K54</f>
        <v>0.5</v>
      </c>
      <c r="X54" s="167"/>
      <c r="Y54" s="272"/>
      <c r="Z54" s="150"/>
      <c r="AA54" s="1">
        <v>0</v>
      </c>
      <c r="AB54" s="1">
        <v>0</v>
      </c>
      <c r="AC54" s="1">
        <v>0</v>
      </c>
      <c r="AD54" s="1">
        <v>12</v>
      </c>
      <c r="AE54" s="1">
        <f>SUM(AA54:AD54)</f>
        <v>12</v>
      </c>
      <c r="AF54" s="297">
        <f>+AE54/AL54</f>
        <v>0.54545454545454541</v>
      </c>
      <c r="AG54" s="198"/>
      <c r="AH54" s="193"/>
      <c r="AI54" s="5" t="s">
        <v>170</v>
      </c>
      <c r="AJ54" s="23">
        <v>13</v>
      </c>
      <c r="AK54" s="25">
        <v>16</v>
      </c>
      <c r="AL54" s="1">
        <v>22</v>
      </c>
      <c r="AM54" s="74" t="s">
        <v>203</v>
      </c>
      <c r="AN54" s="10" t="s">
        <v>198</v>
      </c>
      <c r="AO54" s="229"/>
      <c r="AP54" s="229"/>
      <c r="AQ54" s="298"/>
      <c r="AR54" s="298"/>
      <c r="AS54" s="192"/>
      <c r="AT54" s="216"/>
      <c r="AU54" s="216"/>
      <c r="AV54" s="227"/>
      <c r="AW54" s="227"/>
      <c r="AX54" s="239" t="s">
        <v>213</v>
      </c>
      <c r="AY54" s="240" t="s">
        <v>213</v>
      </c>
      <c r="AZ54" s="249"/>
    </row>
    <row r="55" spans="1:52" ht="82.5" customHeight="1" x14ac:dyDescent="0.2">
      <c r="A55" s="110"/>
      <c r="B55" s="110"/>
      <c r="C55" s="110"/>
      <c r="D55" s="110"/>
      <c r="E55" s="104" t="s">
        <v>38</v>
      </c>
      <c r="F55" s="101">
        <v>0.52</v>
      </c>
      <c r="G55" s="252" t="s">
        <v>225</v>
      </c>
      <c r="H55" s="123">
        <v>0</v>
      </c>
      <c r="I55" s="149" t="s">
        <v>58</v>
      </c>
      <c r="J55" s="5" t="s">
        <v>110</v>
      </c>
      <c r="K55" s="245">
        <v>1</v>
      </c>
      <c r="L55" s="1">
        <v>0</v>
      </c>
      <c r="M55" s="16">
        <v>1</v>
      </c>
      <c r="N55" s="1">
        <v>0</v>
      </c>
      <c r="O55" s="1">
        <v>1</v>
      </c>
      <c r="P55" s="1">
        <v>0</v>
      </c>
      <c r="Q55" s="1">
        <v>0</v>
      </c>
      <c r="R55" s="1">
        <v>1</v>
      </c>
      <c r="S55" s="1">
        <v>1</v>
      </c>
      <c r="T55" s="1">
        <v>1</v>
      </c>
      <c r="U55" s="1">
        <v>1</v>
      </c>
      <c r="V55" s="1">
        <v>1</v>
      </c>
      <c r="W55" s="251">
        <v>1</v>
      </c>
      <c r="X55" s="165">
        <f>AVERAGE(W55:W57)</f>
        <v>0.95833333333333337</v>
      </c>
      <c r="Y55" s="272"/>
      <c r="Z55" s="149" t="s">
        <v>58</v>
      </c>
      <c r="AA55" s="1">
        <v>1</v>
      </c>
      <c r="AB55" s="1">
        <v>1</v>
      </c>
      <c r="AC55" s="1">
        <v>1</v>
      </c>
      <c r="AD55" s="1">
        <v>1</v>
      </c>
      <c r="AE55" s="48">
        <f>+AC55</f>
        <v>1</v>
      </c>
      <c r="AF55" s="185">
        <v>1</v>
      </c>
      <c r="AG55" s="209">
        <f>AVERAGE(AF55:AF57)</f>
        <v>0.90303030303030296</v>
      </c>
      <c r="AH55" s="193"/>
      <c r="AI55" s="5" t="s">
        <v>110</v>
      </c>
      <c r="AJ55" s="23">
        <v>0</v>
      </c>
      <c r="AK55" s="25">
        <v>1</v>
      </c>
      <c r="AL55" s="1">
        <v>1</v>
      </c>
      <c r="AM55" s="74" t="s">
        <v>203</v>
      </c>
      <c r="AN55" s="10" t="s">
        <v>198</v>
      </c>
      <c r="AO55" s="229"/>
      <c r="AP55" s="229"/>
      <c r="AQ55" s="298"/>
      <c r="AR55" s="298"/>
      <c r="AS55" s="192"/>
      <c r="AT55" s="279" t="s">
        <v>204</v>
      </c>
      <c r="AU55" s="213" t="s">
        <v>209</v>
      </c>
      <c r="AV55" s="220">
        <v>100000000</v>
      </c>
      <c r="AW55" s="220">
        <v>63592710</v>
      </c>
      <c r="AX55" s="239" t="s">
        <v>214</v>
      </c>
      <c r="AY55" s="240" t="s">
        <v>214</v>
      </c>
      <c r="AZ55" s="249"/>
    </row>
    <row r="56" spans="1:52" ht="147.75" customHeight="1" x14ac:dyDescent="0.2">
      <c r="A56" s="110"/>
      <c r="B56" s="110"/>
      <c r="C56" s="110"/>
      <c r="D56" s="110"/>
      <c r="E56" s="106"/>
      <c r="F56" s="102"/>
      <c r="G56" s="258"/>
      <c r="H56" s="124"/>
      <c r="I56" s="151"/>
      <c r="J56" s="5" t="s">
        <v>111</v>
      </c>
      <c r="K56" s="245">
        <v>22</v>
      </c>
      <c r="L56" s="1">
        <v>8</v>
      </c>
      <c r="M56" s="16">
        <f>8+5</f>
        <v>13</v>
      </c>
      <c r="N56" s="1">
        <v>2</v>
      </c>
      <c r="O56" s="1">
        <v>5</v>
      </c>
      <c r="P56" s="1">
        <v>5</v>
      </c>
      <c r="Q56" s="1">
        <v>10</v>
      </c>
      <c r="R56" s="1">
        <v>0</v>
      </c>
      <c r="S56" s="1">
        <v>0</v>
      </c>
      <c r="T56" s="1">
        <v>0</v>
      </c>
      <c r="U56" s="1">
        <v>10</v>
      </c>
      <c r="V56" s="1">
        <f t="shared" si="0"/>
        <v>10</v>
      </c>
      <c r="W56" s="251">
        <v>1</v>
      </c>
      <c r="X56" s="166"/>
      <c r="Y56" s="272"/>
      <c r="Z56" s="151"/>
      <c r="AA56" s="1">
        <v>0</v>
      </c>
      <c r="AB56" s="1">
        <v>0</v>
      </c>
      <c r="AC56" s="1">
        <v>0</v>
      </c>
      <c r="AD56" s="1">
        <v>10</v>
      </c>
      <c r="AE56" s="48">
        <f>SUM(AA56:AD56)</f>
        <v>10</v>
      </c>
      <c r="AF56" s="185">
        <f>+AE56/AL56</f>
        <v>0.90909090909090906</v>
      </c>
      <c r="AG56" s="192"/>
      <c r="AH56" s="193"/>
      <c r="AI56" s="5" t="s">
        <v>171</v>
      </c>
      <c r="AJ56" s="23">
        <v>8</v>
      </c>
      <c r="AK56" s="25">
        <v>5</v>
      </c>
      <c r="AL56" s="1">
        <f>(8-2)+(5-5)+5</f>
        <v>11</v>
      </c>
      <c r="AM56" s="74" t="s">
        <v>203</v>
      </c>
      <c r="AN56" s="10" t="s">
        <v>198</v>
      </c>
      <c r="AO56" s="229"/>
      <c r="AP56" s="229"/>
      <c r="AQ56" s="298"/>
      <c r="AR56" s="298"/>
      <c r="AS56" s="192"/>
      <c r="AT56" s="282"/>
      <c r="AU56" s="223"/>
      <c r="AV56" s="225"/>
      <c r="AW56" s="225"/>
      <c r="AX56" s="36" t="s">
        <v>267</v>
      </c>
      <c r="AY56" s="241" t="s">
        <v>322</v>
      </c>
      <c r="AZ56" s="249"/>
    </row>
    <row r="57" spans="1:52" ht="180.75" x14ac:dyDescent="0.25">
      <c r="A57" s="110"/>
      <c r="B57" s="110"/>
      <c r="C57" s="110"/>
      <c r="D57" s="83"/>
      <c r="E57" s="105"/>
      <c r="F57" s="103"/>
      <c r="G57" s="263"/>
      <c r="H57" s="125"/>
      <c r="I57" s="150"/>
      <c r="J57" s="5" t="s">
        <v>112</v>
      </c>
      <c r="K57" s="245">
        <v>8</v>
      </c>
      <c r="L57" s="1">
        <v>0</v>
      </c>
      <c r="M57" s="16">
        <f>1+2</f>
        <v>3</v>
      </c>
      <c r="N57" s="1">
        <v>2</v>
      </c>
      <c r="O57" s="1">
        <v>2</v>
      </c>
      <c r="P57" s="1">
        <v>4</v>
      </c>
      <c r="Q57" s="1">
        <v>0</v>
      </c>
      <c r="R57" s="1">
        <v>0</v>
      </c>
      <c r="S57" s="1">
        <v>1</v>
      </c>
      <c r="T57" s="1">
        <v>3</v>
      </c>
      <c r="U57" s="1">
        <v>0</v>
      </c>
      <c r="V57" s="1">
        <f t="shared" si="0"/>
        <v>4</v>
      </c>
      <c r="W57" s="251">
        <f t="shared" si="2"/>
        <v>0.875</v>
      </c>
      <c r="X57" s="167"/>
      <c r="Y57" s="81"/>
      <c r="Z57" s="150"/>
      <c r="AA57" s="1">
        <v>0</v>
      </c>
      <c r="AB57" s="1">
        <v>1</v>
      </c>
      <c r="AC57" s="1">
        <v>3</v>
      </c>
      <c r="AD57" s="1">
        <v>0</v>
      </c>
      <c r="AE57" s="48">
        <f>SUM(AA57:AC57)</f>
        <v>4</v>
      </c>
      <c r="AF57" s="185">
        <f>+AE57/AL57</f>
        <v>0.8</v>
      </c>
      <c r="AG57" s="198"/>
      <c r="AH57" s="231"/>
      <c r="AI57" s="5" t="s">
        <v>172</v>
      </c>
      <c r="AJ57" s="23">
        <v>1</v>
      </c>
      <c r="AK57" s="25">
        <v>2</v>
      </c>
      <c r="AL57" s="1">
        <f>(2-1)+(2-2)+4</f>
        <v>5</v>
      </c>
      <c r="AM57" s="74" t="s">
        <v>203</v>
      </c>
      <c r="AN57" s="10" t="s">
        <v>198</v>
      </c>
      <c r="AO57" s="232"/>
      <c r="AP57" s="232"/>
      <c r="AQ57" s="299"/>
      <c r="AR57" s="299"/>
      <c r="AS57" s="198"/>
      <c r="AT57" s="284"/>
      <c r="AU57" s="216"/>
      <c r="AV57" s="227"/>
      <c r="AW57" s="227"/>
      <c r="AX57" s="236" t="s">
        <v>297</v>
      </c>
      <c r="AY57" s="237" t="s">
        <v>323</v>
      </c>
      <c r="AZ57" s="249"/>
    </row>
    <row r="58" spans="1:52" ht="109.5" customHeight="1" x14ac:dyDescent="0.2">
      <c r="A58" s="110"/>
      <c r="B58" s="110"/>
      <c r="C58" s="110"/>
      <c r="D58" s="82" t="s">
        <v>27</v>
      </c>
      <c r="E58" s="132" t="s">
        <v>39</v>
      </c>
      <c r="F58" s="101">
        <v>0.11</v>
      </c>
      <c r="G58" s="252">
        <v>0.13800000000000001</v>
      </c>
      <c r="H58" s="123">
        <f>+((13.8-11)/(15-11))</f>
        <v>0.70000000000000018</v>
      </c>
      <c r="I58" s="82" t="s">
        <v>59</v>
      </c>
      <c r="J58" s="34" t="s">
        <v>113</v>
      </c>
      <c r="K58" s="245">
        <f>7-5</f>
        <v>2</v>
      </c>
      <c r="L58" s="1">
        <v>5</v>
      </c>
      <c r="M58" s="16">
        <v>2</v>
      </c>
      <c r="N58" s="1">
        <v>0</v>
      </c>
      <c r="O58" s="1">
        <v>0</v>
      </c>
      <c r="P58" s="1">
        <v>1</v>
      </c>
      <c r="Q58" s="1">
        <v>1</v>
      </c>
      <c r="R58" s="1">
        <v>0</v>
      </c>
      <c r="S58" s="1">
        <v>0</v>
      </c>
      <c r="T58" s="1">
        <v>1</v>
      </c>
      <c r="U58" s="48">
        <v>1</v>
      </c>
      <c r="V58" s="1">
        <v>1</v>
      </c>
      <c r="W58" s="251">
        <v>1</v>
      </c>
      <c r="X58" s="165">
        <f>+(W58+W59+W60+W61)/4</f>
        <v>0.81282051282051282</v>
      </c>
      <c r="Y58" s="80">
        <f>+(X58+X62+X63)/3</f>
        <v>0.78907112332112328</v>
      </c>
      <c r="Z58" s="149" t="s">
        <v>59</v>
      </c>
      <c r="AA58" s="1">
        <v>0</v>
      </c>
      <c r="AB58" s="1">
        <v>0</v>
      </c>
      <c r="AC58" s="1">
        <v>1</v>
      </c>
      <c r="AD58" s="60">
        <v>1</v>
      </c>
      <c r="AE58" s="48">
        <v>1</v>
      </c>
      <c r="AF58" s="185">
        <f>+AE58/AL58</f>
        <v>1</v>
      </c>
      <c r="AG58" s="209">
        <f>AVERAGE(AF58:AF61)</f>
        <v>0.625</v>
      </c>
      <c r="AH58" s="300">
        <f>AVERAGE(AG58:AG64)</f>
        <v>0.54166666666666663</v>
      </c>
      <c r="AI58" s="5" t="s">
        <v>173</v>
      </c>
      <c r="AJ58" s="23">
        <v>1</v>
      </c>
      <c r="AK58" s="23">
        <v>1</v>
      </c>
      <c r="AL58" s="1">
        <v>1</v>
      </c>
      <c r="AM58" s="74" t="s">
        <v>203</v>
      </c>
      <c r="AN58" s="10" t="s">
        <v>201</v>
      </c>
      <c r="AO58" s="210" t="s">
        <v>288</v>
      </c>
      <c r="AP58" s="210" t="s">
        <v>285</v>
      </c>
      <c r="AQ58" s="211">
        <v>468821729</v>
      </c>
      <c r="AR58" s="211">
        <v>451746324</v>
      </c>
      <c r="AS58" s="209">
        <f>+((AR58+AR61+AR63)/(AQ58+AQ61+AQ63))</f>
        <v>0.88712670728204224</v>
      </c>
      <c r="AT58" s="213" t="s">
        <v>204</v>
      </c>
      <c r="AU58" s="213" t="s">
        <v>209</v>
      </c>
      <c r="AV58" s="220">
        <v>1478414834</v>
      </c>
      <c r="AW58" s="220">
        <v>538694254</v>
      </c>
      <c r="AX58" s="36" t="s">
        <v>260</v>
      </c>
      <c r="AY58" s="241" t="s">
        <v>260</v>
      </c>
      <c r="AZ58" s="249"/>
    </row>
    <row r="59" spans="1:52" ht="121.5" customHeight="1" x14ac:dyDescent="0.2">
      <c r="A59" s="110"/>
      <c r="B59" s="110"/>
      <c r="C59" s="110"/>
      <c r="D59" s="110"/>
      <c r="E59" s="136"/>
      <c r="F59" s="102"/>
      <c r="G59" s="258"/>
      <c r="H59" s="124"/>
      <c r="I59" s="110"/>
      <c r="J59" s="34" t="s">
        <v>114</v>
      </c>
      <c r="K59" s="245">
        <v>13</v>
      </c>
      <c r="L59" s="1">
        <v>5</v>
      </c>
      <c r="M59" s="16">
        <v>3</v>
      </c>
      <c r="N59" s="1">
        <v>1</v>
      </c>
      <c r="O59" s="1">
        <v>2</v>
      </c>
      <c r="P59" s="1">
        <v>2</v>
      </c>
      <c r="Q59" s="1">
        <v>3</v>
      </c>
      <c r="R59" s="1">
        <v>0</v>
      </c>
      <c r="S59" s="1">
        <v>0</v>
      </c>
      <c r="T59" s="1">
        <v>2</v>
      </c>
      <c r="U59" s="48">
        <v>2</v>
      </c>
      <c r="V59" s="1">
        <v>2</v>
      </c>
      <c r="W59" s="251">
        <f t="shared" si="2"/>
        <v>0.38461538461538464</v>
      </c>
      <c r="X59" s="166"/>
      <c r="Y59" s="272"/>
      <c r="Z59" s="151"/>
      <c r="AA59" s="1">
        <v>0</v>
      </c>
      <c r="AB59" s="1">
        <v>0</v>
      </c>
      <c r="AC59" s="1">
        <v>2</v>
      </c>
      <c r="AD59" s="60">
        <v>2</v>
      </c>
      <c r="AE59" s="48">
        <f>SUM(AA59:AC59)</f>
        <v>2</v>
      </c>
      <c r="AF59" s="185">
        <f>+AE59/AL59</f>
        <v>0.5</v>
      </c>
      <c r="AG59" s="192"/>
      <c r="AH59" s="301"/>
      <c r="AI59" s="5" t="s">
        <v>174</v>
      </c>
      <c r="AJ59" s="23">
        <v>2</v>
      </c>
      <c r="AK59" s="23">
        <v>1</v>
      </c>
      <c r="AL59" s="1">
        <f>(2-1)+(2-(2-1))+2</f>
        <v>4</v>
      </c>
      <c r="AM59" s="74" t="s">
        <v>203</v>
      </c>
      <c r="AN59" s="10" t="s">
        <v>201</v>
      </c>
      <c r="AO59" s="210"/>
      <c r="AP59" s="210"/>
      <c r="AQ59" s="211"/>
      <c r="AR59" s="211"/>
      <c r="AS59" s="192"/>
      <c r="AT59" s="223"/>
      <c r="AU59" s="223"/>
      <c r="AV59" s="225"/>
      <c r="AW59" s="225"/>
      <c r="AX59" s="36" t="s">
        <v>248</v>
      </c>
      <c r="AY59" s="241" t="s">
        <v>327</v>
      </c>
      <c r="AZ59" s="249"/>
    </row>
    <row r="60" spans="1:52" ht="69" customHeight="1" x14ac:dyDescent="0.2">
      <c r="A60" s="110"/>
      <c r="B60" s="110"/>
      <c r="C60" s="110"/>
      <c r="D60" s="110"/>
      <c r="E60" s="136"/>
      <c r="F60" s="102"/>
      <c r="G60" s="258"/>
      <c r="H60" s="124"/>
      <c r="I60" s="110"/>
      <c r="J60" s="34" t="s">
        <v>115</v>
      </c>
      <c r="K60" s="245">
        <v>15</v>
      </c>
      <c r="L60" s="1">
        <v>13</v>
      </c>
      <c r="M60" s="16">
        <v>13</v>
      </c>
      <c r="N60" s="1">
        <v>13</v>
      </c>
      <c r="O60" s="1">
        <v>13</v>
      </c>
      <c r="P60" s="1">
        <v>14</v>
      </c>
      <c r="Q60" s="1">
        <v>15</v>
      </c>
      <c r="R60" s="1">
        <v>0</v>
      </c>
      <c r="S60" s="1">
        <v>0</v>
      </c>
      <c r="T60" s="1">
        <v>0</v>
      </c>
      <c r="U60" s="48">
        <v>0</v>
      </c>
      <c r="V60" s="1">
        <f t="shared" si="0"/>
        <v>0</v>
      </c>
      <c r="W60" s="251">
        <f t="shared" si="2"/>
        <v>0.8666666666666667</v>
      </c>
      <c r="X60" s="166"/>
      <c r="Y60" s="272"/>
      <c r="Z60" s="150"/>
      <c r="AA60" s="1">
        <v>0</v>
      </c>
      <c r="AB60" s="1">
        <v>0</v>
      </c>
      <c r="AC60" s="1">
        <v>0</v>
      </c>
      <c r="AD60" s="60">
        <v>0</v>
      </c>
      <c r="AE60" s="48">
        <f>SUM(AA60:AD60)</f>
        <v>0</v>
      </c>
      <c r="AF60" s="185">
        <f>+AE60/AL60</f>
        <v>0</v>
      </c>
      <c r="AG60" s="192"/>
      <c r="AH60" s="301"/>
      <c r="AI60" s="5" t="s">
        <v>175</v>
      </c>
      <c r="AJ60" s="23">
        <v>13</v>
      </c>
      <c r="AK60" s="23">
        <v>13</v>
      </c>
      <c r="AL60" s="1">
        <v>14</v>
      </c>
      <c r="AM60" s="74" t="s">
        <v>203</v>
      </c>
      <c r="AN60" s="10" t="s">
        <v>201</v>
      </c>
      <c r="AO60" s="210"/>
      <c r="AP60" s="210"/>
      <c r="AQ60" s="211"/>
      <c r="AR60" s="211"/>
      <c r="AS60" s="192"/>
      <c r="AT60" s="216"/>
      <c r="AU60" s="216"/>
      <c r="AV60" s="227"/>
      <c r="AW60" s="227"/>
      <c r="AX60" s="236" t="s">
        <v>249</v>
      </c>
      <c r="AY60" s="241" t="s">
        <v>326</v>
      </c>
      <c r="AZ60" s="249"/>
    </row>
    <row r="61" spans="1:52" ht="175.5" customHeight="1" x14ac:dyDescent="0.25">
      <c r="A61" s="110"/>
      <c r="B61" s="110"/>
      <c r="C61" s="110"/>
      <c r="D61" s="110"/>
      <c r="E61" s="136"/>
      <c r="F61" s="102"/>
      <c r="G61" s="258"/>
      <c r="H61" s="124"/>
      <c r="I61" s="83"/>
      <c r="J61" s="34" t="s">
        <v>116</v>
      </c>
      <c r="K61" s="245">
        <v>84</v>
      </c>
      <c r="L61" s="1">
        <v>0</v>
      </c>
      <c r="M61" s="16">
        <v>62</v>
      </c>
      <c r="N61" s="1">
        <v>5</v>
      </c>
      <c r="O61" s="1">
        <v>15</v>
      </c>
      <c r="P61" s="1">
        <v>20</v>
      </c>
      <c r="Q61" s="1">
        <v>44</v>
      </c>
      <c r="R61" s="1">
        <v>0</v>
      </c>
      <c r="S61" s="1">
        <v>0</v>
      </c>
      <c r="T61" s="1">
        <v>40</v>
      </c>
      <c r="U61" s="48">
        <v>40</v>
      </c>
      <c r="V61" s="1">
        <v>40</v>
      </c>
      <c r="W61" s="251">
        <v>1</v>
      </c>
      <c r="X61" s="167"/>
      <c r="Y61" s="272"/>
      <c r="Z61" s="36" t="s">
        <v>128</v>
      </c>
      <c r="AA61" s="1">
        <v>0</v>
      </c>
      <c r="AB61" s="1">
        <v>0</v>
      </c>
      <c r="AC61" s="1">
        <v>40</v>
      </c>
      <c r="AD61" s="48">
        <v>40</v>
      </c>
      <c r="AE61" s="48">
        <v>40</v>
      </c>
      <c r="AF61" s="185">
        <v>1</v>
      </c>
      <c r="AG61" s="198"/>
      <c r="AH61" s="301"/>
      <c r="AI61" s="5" t="s">
        <v>176</v>
      </c>
      <c r="AJ61" s="23">
        <v>54</v>
      </c>
      <c r="AK61" s="23">
        <v>8</v>
      </c>
      <c r="AL61" s="1">
        <f>40-20</f>
        <v>20</v>
      </c>
      <c r="AM61" s="74" t="s">
        <v>203</v>
      </c>
      <c r="AN61" s="10" t="s">
        <v>201</v>
      </c>
      <c r="AO61" s="212" t="s">
        <v>289</v>
      </c>
      <c r="AP61" s="302" t="s">
        <v>290</v>
      </c>
      <c r="AQ61" s="211">
        <v>769914805</v>
      </c>
      <c r="AR61" s="211">
        <v>0</v>
      </c>
      <c r="AS61" s="192"/>
      <c r="AT61" s="303"/>
      <c r="AU61" s="303"/>
      <c r="AV61" s="304">
        <v>0</v>
      </c>
      <c r="AW61" s="303"/>
      <c r="AX61" s="36" t="s">
        <v>280</v>
      </c>
      <c r="AY61" s="241" t="s">
        <v>327</v>
      </c>
      <c r="AZ61" s="249"/>
    </row>
    <row r="62" spans="1:52" ht="82.5" customHeight="1" x14ac:dyDescent="0.25">
      <c r="A62" s="110"/>
      <c r="B62" s="110"/>
      <c r="C62" s="110"/>
      <c r="D62" s="110"/>
      <c r="E62" s="136"/>
      <c r="F62" s="102"/>
      <c r="G62" s="258"/>
      <c r="H62" s="124"/>
      <c r="I62" s="36" t="s">
        <v>60</v>
      </c>
      <c r="J62" s="34" t="s">
        <v>117</v>
      </c>
      <c r="K62" s="245">
        <v>28</v>
      </c>
      <c r="L62" s="1">
        <v>16</v>
      </c>
      <c r="M62" s="16">
        <v>17</v>
      </c>
      <c r="N62" s="1">
        <v>1</v>
      </c>
      <c r="O62" s="1">
        <v>5</v>
      </c>
      <c r="P62" s="1">
        <v>3</v>
      </c>
      <c r="Q62" s="1">
        <v>3</v>
      </c>
      <c r="R62" s="1">
        <v>0</v>
      </c>
      <c r="S62" s="1">
        <v>0</v>
      </c>
      <c r="T62" s="1">
        <v>0</v>
      </c>
      <c r="U62" s="48">
        <v>0</v>
      </c>
      <c r="V62" s="1">
        <f t="shared" si="0"/>
        <v>0</v>
      </c>
      <c r="W62" s="251">
        <f t="shared" si="2"/>
        <v>0.6071428571428571</v>
      </c>
      <c r="X62" s="73">
        <f>+W62</f>
        <v>0.6071428571428571</v>
      </c>
      <c r="Y62" s="272"/>
      <c r="Z62" s="36" t="s">
        <v>60</v>
      </c>
      <c r="AA62" s="1">
        <v>0</v>
      </c>
      <c r="AB62" s="1">
        <v>0</v>
      </c>
      <c r="AC62" s="1">
        <v>0</v>
      </c>
      <c r="AD62" s="48">
        <v>0</v>
      </c>
      <c r="AE62" s="48">
        <f>SUM(AA62:AD62)</f>
        <v>0</v>
      </c>
      <c r="AF62" s="185">
        <v>0</v>
      </c>
      <c r="AG62" s="185">
        <f>+AF62</f>
        <v>0</v>
      </c>
      <c r="AH62" s="301"/>
      <c r="AI62" s="5" t="s">
        <v>177</v>
      </c>
      <c r="AJ62" s="23">
        <v>17</v>
      </c>
      <c r="AK62" s="23">
        <v>8</v>
      </c>
      <c r="AL62" s="1">
        <v>3</v>
      </c>
      <c r="AM62" s="74" t="s">
        <v>203</v>
      </c>
      <c r="AN62" s="10" t="s">
        <v>201</v>
      </c>
      <c r="AO62" s="212"/>
      <c r="AP62" s="302"/>
      <c r="AQ62" s="211"/>
      <c r="AR62" s="211"/>
      <c r="AS62" s="192"/>
      <c r="AT62" s="303"/>
      <c r="AU62" s="303"/>
      <c r="AV62" s="304">
        <v>0</v>
      </c>
      <c r="AW62" s="303"/>
      <c r="AX62" s="36" t="s">
        <v>250</v>
      </c>
      <c r="AY62" s="240"/>
      <c r="AZ62" s="249"/>
    </row>
    <row r="63" spans="1:52" ht="231" customHeight="1" x14ac:dyDescent="0.2">
      <c r="A63" s="110"/>
      <c r="B63" s="110"/>
      <c r="C63" s="110"/>
      <c r="D63" s="110"/>
      <c r="E63" s="136"/>
      <c r="F63" s="102"/>
      <c r="G63" s="258"/>
      <c r="H63" s="124"/>
      <c r="I63" s="149" t="s">
        <v>61</v>
      </c>
      <c r="J63" s="34" t="s">
        <v>118</v>
      </c>
      <c r="K63" s="245">
        <f>12503-8503</f>
        <v>4000</v>
      </c>
      <c r="L63" s="1">
        <v>8503</v>
      </c>
      <c r="M63" s="16">
        <f>1598+1076</f>
        <v>2674</v>
      </c>
      <c r="N63" s="1">
        <v>1497</v>
      </c>
      <c r="O63" s="1">
        <v>900</v>
      </c>
      <c r="P63" s="1">
        <v>800</v>
      </c>
      <c r="Q63" s="1">
        <v>803</v>
      </c>
      <c r="R63" s="1">
        <v>523</v>
      </c>
      <c r="S63" s="1">
        <v>172</v>
      </c>
      <c r="T63" s="1">
        <v>209</v>
      </c>
      <c r="U63" s="48">
        <v>0</v>
      </c>
      <c r="V63" s="1">
        <f t="shared" si="0"/>
        <v>904</v>
      </c>
      <c r="W63" s="251">
        <f t="shared" si="2"/>
        <v>0.89449999999999996</v>
      </c>
      <c r="X63" s="80">
        <f>+(W63+W64)/2</f>
        <v>0.94724999999999993</v>
      </c>
      <c r="Y63" s="272"/>
      <c r="Z63" s="149" t="s">
        <v>61</v>
      </c>
      <c r="AA63" s="1">
        <v>523</v>
      </c>
      <c r="AB63" s="1">
        <v>172</v>
      </c>
      <c r="AC63" s="1">
        <v>209</v>
      </c>
      <c r="AD63" s="1">
        <v>0</v>
      </c>
      <c r="AE63" s="48">
        <f>+AC63+AA63+AB63</f>
        <v>904</v>
      </c>
      <c r="AF63" s="185">
        <v>1</v>
      </c>
      <c r="AG63" s="209">
        <f>AVERAGE(AF63:AF64)</f>
        <v>1</v>
      </c>
      <c r="AH63" s="301"/>
      <c r="AI63" s="5" t="s">
        <v>178</v>
      </c>
      <c r="AJ63" s="23">
        <v>1598</v>
      </c>
      <c r="AK63" s="23">
        <v>1076</v>
      </c>
      <c r="AL63" s="1">
        <f>11700-10900</f>
        <v>800</v>
      </c>
      <c r="AM63" s="74" t="s">
        <v>203</v>
      </c>
      <c r="AN63" s="10" t="s">
        <v>201</v>
      </c>
      <c r="AO63" s="228" t="s">
        <v>360</v>
      </c>
      <c r="AP63" s="228" t="s">
        <v>291</v>
      </c>
      <c r="AQ63" s="218">
        <v>8233366771</v>
      </c>
      <c r="AR63" s="218">
        <v>7951209492</v>
      </c>
      <c r="AS63" s="192"/>
      <c r="AT63" s="213" t="s">
        <v>204</v>
      </c>
      <c r="AU63" s="279" t="s">
        <v>210</v>
      </c>
      <c r="AV63" s="220">
        <v>8578744509.1999998</v>
      </c>
      <c r="AW63" s="220">
        <v>4060223939.1999998</v>
      </c>
      <c r="AX63" s="36" t="s">
        <v>362</v>
      </c>
      <c r="AY63" s="242" t="s">
        <v>329</v>
      </c>
      <c r="AZ63" s="249"/>
    </row>
    <row r="64" spans="1:52" ht="90.75" customHeight="1" x14ac:dyDescent="0.2">
      <c r="A64" s="110"/>
      <c r="B64" s="110"/>
      <c r="C64" s="110"/>
      <c r="D64" s="83"/>
      <c r="E64" s="131"/>
      <c r="F64" s="103"/>
      <c r="G64" s="263"/>
      <c r="H64" s="125"/>
      <c r="I64" s="150"/>
      <c r="J64" s="34" t="s">
        <v>119</v>
      </c>
      <c r="K64" s="245">
        <v>80</v>
      </c>
      <c r="L64" s="1">
        <v>0</v>
      </c>
      <c r="M64" s="16">
        <f>30+28</f>
        <v>58</v>
      </c>
      <c r="N64" s="1">
        <v>10</v>
      </c>
      <c r="O64" s="1">
        <v>20</v>
      </c>
      <c r="P64" s="1">
        <v>20</v>
      </c>
      <c r="Q64" s="1">
        <v>30</v>
      </c>
      <c r="R64" s="1">
        <v>28</v>
      </c>
      <c r="S64" s="1">
        <v>28</v>
      </c>
      <c r="T64" s="1">
        <v>28</v>
      </c>
      <c r="U64" s="48">
        <v>28</v>
      </c>
      <c r="V64" s="1">
        <v>28</v>
      </c>
      <c r="W64" s="251">
        <v>1</v>
      </c>
      <c r="X64" s="81"/>
      <c r="Y64" s="81"/>
      <c r="Z64" s="150"/>
      <c r="AA64" s="1">
        <v>28</v>
      </c>
      <c r="AB64" s="1">
        <v>0</v>
      </c>
      <c r="AC64" s="1">
        <v>0</v>
      </c>
      <c r="AD64" s="48">
        <v>0</v>
      </c>
      <c r="AE64" s="48">
        <f>SUM(AA64:AD64)</f>
        <v>28</v>
      </c>
      <c r="AF64" s="185">
        <v>1</v>
      </c>
      <c r="AG64" s="198"/>
      <c r="AH64" s="305"/>
      <c r="AI64" s="5" t="s">
        <v>179</v>
      </c>
      <c r="AJ64" s="23">
        <v>30</v>
      </c>
      <c r="AK64" s="23">
        <v>28</v>
      </c>
      <c r="AL64" s="1">
        <f>50-30</f>
        <v>20</v>
      </c>
      <c r="AM64" s="74" t="s">
        <v>203</v>
      </c>
      <c r="AN64" s="10" t="s">
        <v>201</v>
      </c>
      <c r="AO64" s="232"/>
      <c r="AP64" s="232"/>
      <c r="AQ64" s="222"/>
      <c r="AR64" s="222"/>
      <c r="AS64" s="198"/>
      <c r="AT64" s="216"/>
      <c r="AU64" s="284"/>
      <c r="AV64" s="227"/>
      <c r="AW64" s="227"/>
      <c r="AX64" s="36" t="s">
        <v>215</v>
      </c>
      <c r="AY64" s="241" t="s">
        <v>328</v>
      </c>
      <c r="AZ64" s="249"/>
    </row>
    <row r="65" spans="1:52" ht="150.75" customHeight="1" x14ac:dyDescent="0.25">
      <c r="A65" s="110"/>
      <c r="B65" s="110"/>
      <c r="C65" s="110"/>
      <c r="D65" s="132" t="s">
        <v>28</v>
      </c>
      <c r="E65" s="132" t="s">
        <v>40</v>
      </c>
      <c r="F65" s="132" t="s">
        <v>225</v>
      </c>
      <c r="G65" s="306">
        <v>0.16300000000000001</v>
      </c>
      <c r="H65" s="123">
        <f>16.3/80</f>
        <v>0.20375000000000001</v>
      </c>
      <c r="I65" s="36" t="s">
        <v>62</v>
      </c>
      <c r="J65" s="5" t="s">
        <v>120</v>
      </c>
      <c r="K65" s="245">
        <v>500</v>
      </c>
      <c r="L65" s="20">
        <v>0</v>
      </c>
      <c r="M65" s="20">
        <v>0</v>
      </c>
      <c r="N65" s="1">
        <v>50</v>
      </c>
      <c r="O65" s="1">
        <v>100</v>
      </c>
      <c r="P65" s="1">
        <v>200</v>
      </c>
      <c r="Q65" s="1">
        <v>150</v>
      </c>
      <c r="R65" s="1">
        <v>0</v>
      </c>
      <c r="S65" s="1">
        <v>0</v>
      </c>
      <c r="T65" s="1">
        <v>0</v>
      </c>
      <c r="U65" s="48">
        <v>0</v>
      </c>
      <c r="V65" s="1">
        <f t="shared" si="0"/>
        <v>0</v>
      </c>
      <c r="W65" s="251">
        <f t="shared" si="2"/>
        <v>0</v>
      </c>
      <c r="X65" s="73">
        <f>+W65</f>
        <v>0</v>
      </c>
      <c r="Y65" s="80">
        <f>+(X65+X66)/2</f>
        <v>0.31623717948717944</v>
      </c>
      <c r="Z65" s="36" t="s">
        <v>62</v>
      </c>
      <c r="AA65" s="1">
        <v>0</v>
      </c>
      <c r="AB65" s="1">
        <v>0</v>
      </c>
      <c r="AC65" s="1">
        <v>0</v>
      </c>
      <c r="AD65" s="48">
        <v>0</v>
      </c>
      <c r="AE65" s="48">
        <f>SUM(AA65:AD65)</f>
        <v>0</v>
      </c>
      <c r="AF65" s="185">
        <v>0</v>
      </c>
      <c r="AG65" s="185">
        <f>+AF65</f>
        <v>0</v>
      </c>
      <c r="AH65" s="300">
        <f>AVERAGE(AG65:AG67)</f>
        <v>0.41911006135635553</v>
      </c>
      <c r="AI65" s="5" t="s">
        <v>180</v>
      </c>
      <c r="AJ65" s="23">
        <v>0</v>
      </c>
      <c r="AK65" s="23">
        <v>0</v>
      </c>
      <c r="AL65" s="1">
        <f>(50-0)+(100-0)+200</f>
        <v>350</v>
      </c>
      <c r="AM65" s="74" t="s">
        <v>203</v>
      </c>
      <c r="AN65" s="10" t="s">
        <v>201</v>
      </c>
      <c r="AO65" s="199" t="s">
        <v>282</v>
      </c>
      <c r="AP65" s="199" t="s">
        <v>285</v>
      </c>
      <c r="AQ65" s="307">
        <v>0</v>
      </c>
      <c r="AR65" s="308">
        <v>0</v>
      </c>
      <c r="AS65" s="209">
        <f>+((AR65+AR66)/(AQ65+AQ66))</f>
        <v>0.5705708368493142</v>
      </c>
      <c r="AT65" s="303" t="s">
        <v>204</v>
      </c>
      <c r="AU65" s="309" t="s">
        <v>209</v>
      </c>
      <c r="AV65" s="208">
        <v>0</v>
      </c>
      <c r="AW65" s="205">
        <v>0</v>
      </c>
      <c r="AX65" s="36" t="s">
        <v>330</v>
      </c>
      <c r="AY65" s="240"/>
      <c r="AZ65" s="249"/>
    </row>
    <row r="66" spans="1:52" ht="382.5" customHeight="1" x14ac:dyDescent="0.2">
      <c r="A66" s="110"/>
      <c r="B66" s="110"/>
      <c r="C66" s="110"/>
      <c r="D66" s="136"/>
      <c r="E66" s="136"/>
      <c r="F66" s="136"/>
      <c r="G66" s="310"/>
      <c r="H66" s="124"/>
      <c r="I66" s="149" t="s">
        <v>63</v>
      </c>
      <c r="J66" s="5" t="s">
        <v>121</v>
      </c>
      <c r="K66" s="245">
        <v>1500</v>
      </c>
      <c r="L66" s="20">
        <v>0</v>
      </c>
      <c r="M66" s="20">
        <f>83+40</f>
        <v>123</v>
      </c>
      <c r="N66" s="1">
        <v>200</v>
      </c>
      <c r="O66" s="1">
        <v>400</v>
      </c>
      <c r="P66" s="1">
        <v>400</v>
      </c>
      <c r="Q66" s="1">
        <v>500</v>
      </c>
      <c r="R66" s="1">
        <v>0</v>
      </c>
      <c r="S66" s="1">
        <v>0</v>
      </c>
      <c r="T66" s="1">
        <v>200</v>
      </c>
      <c r="U66" s="48">
        <v>435</v>
      </c>
      <c r="V66" s="1">
        <f t="shared" si="0"/>
        <v>635</v>
      </c>
      <c r="W66" s="251">
        <f t="shared" si="2"/>
        <v>0.5053333333333333</v>
      </c>
      <c r="X66" s="80">
        <f>+(W66+W67)/2</f>
        <v>0.63247435897435889</v>
      </c>
      <c r="Y66" s="272"/>
      <c r="Z66" s="149" t="s">
        <v>63</v>
      </c>
      <c r="AA66" s="1">
        <v>0</v>
      </c>
      <c r="AB66" s="1">
        <v>0</v>
      </c>
      <c r="AC66" s="1">
        <v>200</v>
      </c>
      <c r="AD66" s="48">
        <v>435</v>
      </c>
      <c r="AE66" s="48">
        <f>+AC66+AD66+AB66+AA66</f>
        <v>635</v>
      </c>
      <c r="AF66" s="185">
        <f>+AE66/AL66</f>
        <v>0.72405929304446981</v>
      </c>
      <c r="AG66" s="209">
        <f>AVERAGE(AF66:AF67)</f>
        <v>0.83822012271271107</v>
      </c>
      <c r="AH66" s="301"/>
      <c r="AI66" s="5" t="s">
        <v>181</v>
      </c>
      <c r="AJ66" s="23">
        <v>83</v>
      </c>
      <c r="AK66" s="23">
        <v>40</v>
      </c>
      <c r="AL66" s="1">
        <f>(200-83)+(400-40)+400</f>
        <v>877</v>
      </c>
      <c r="AM66" s="74" t="s">
        <v>203</v>
      </c>
      <c r="AN66" s="10" t="s">
        <v>196</v>
      </c>
      <c r="AO66" s="217" t="s">
        <v>286</v>
      </c>
      <c r="AP66" s="155" t="s">
        <v>287</v>
      </c>
      <c r="AQ66" s="311">
        <v>525088176</v>
      </c>
      <c r="AR66" s="311">
        <v>299600000</v>
      </c>
      <c r="AS66" s="192"/>
      <c r="AT66" s="213" t="s">
        <v>204</v>
      </c>
      <c r="AU66" s="213" t="s">
        <v>209</v>
      </c>
      <c r="AV66" s="220">
        <v>530000000</v>
      </c>
      <c r="AW66" s="213">
        <v>0</v>
      </c>
      <c r="AX66" s="243" t="s">
        <v>251</v>
      </c>
      <c r="AY66" s="240"/>
      <c r="AZ66" s="249"/>
    </row>
    <row r="67" spans="1:52" ht="190.5" customHeight="1" x14ac:dyDescent="0.25">
      <c r="A67" s="83"/>
      <c r="B67" s="83"/>
      <c r="C67" s="83"/>
      <c r="D67" s="131"/>
      <c r="E67" s="131"/>
      <c r="F67" s="131"/>
      <c r="G67" s="312"/>
      <c r="H67" s="125"/>
      <c r="I67" s="150"/>
      <c r="J67" s="5" t="s">
        <v>122</v>
      </c>
      <c r="K67" s="245">
        <v>104</v>
      </c>
      <c r="L67" s="20">
        <v>0</v>
      </c>
      <c r="M67" s="20">
        <v>59</v>
      </c>
      <c r="N67" s="1">
        <v>10</v>
      </c>
      <c r="O67" s="1">
        <v>20</v>
      </c>
      <c r="P67" s="1">
        <v>50</v>
      </c>
      <c r="Q67" s="1">
        <v>24</v>
      </c>
      <c r="R67" s="1">
        <v>0</v>
      </c>
      <c r="S67" s="1">
        <v>0</v>
      </c>
      <c r="T67" s="313">
        <v>7</v>
      </c>
      <c r="U67" s="48">
        <v>13</v>
      </c>
      <c r="V67" s="1">
        <f t="shared" si="0"/>
        <v>20</v>
      </c>
      <c r="W67" s="251">
        <f t="shared" si="2"/>
        <v>0.75961538461538458</v>
      </c>
      <c r="X67" s="81"/>
      <c r="Y67" s="81"/>
      <c r="Z67" s="150"/>
      <c r="AA67" s="1">
        <v>0</v>
      </c>
      <c r="AB67" s="1">
        <v>0</v>
      </c>
      <c r="AC67" s="313">
        <v>7</v>
      </c>
      <c r="AD67" s="48">
        <v>13</v>
      </c>
      <c r="AE67" s="48">
        <f>AD67+AC67</f>
        <v>20</v>
      </c>
      <c r="AF67" s="185">
        <f>+AE67/AL67</f>
        <v>0.95238095238095233</v>
      </c>
      <c r="AG67" s="198"/>
      <c r="AH67" s="305"/>
      <c r="AI67" s="5" t="s">
        <v>182</v>
      </c>
      <c r="AJ67" s="23">
        <v>42</v>
      </c>
      <c r="AK67" s="23">
        <v>17</v>
      </c>
      <c r="AL67" s="1">
        <v>21</v>
      </c>
      <c r="AM67" s="74" t="s">
        <v>203</v>
      </c>
      <c r="AN67" s="10" t="s">
        <v>196</v>
      </c>
      <c r="AO67" s="221"/>
      <c r="AP67" s="156"/>
      <c r="AQ67" s="314"/>
      <c r="AR67" s="314"/>
      <c r="AS67" s="198"/>
      <c r="AT67" s="216"/>
      <c r="AU67" s="216"/>
      <c r="AV67" s="227"/>
      <c r="AW67" s="216"/>
      <c r="AX67" s="315" t="s">
        <v>252</v>
      </c>
      <c r="AY67" s="240"/>
      <c r="AZ67" s="249"/>
    </row>
    <row r="68" spans="1:52" ht="27" thickBot="1" x14ac:dyDescent="0.45">
      <c r="A68" s="316"/>
      <c r="B68" s="316"/>
      <c r="C68" s="316"/>
      <c r="D68" s="316"/>
      <c r="E68" s="316"/>
      <c r="F68" s="316"/>
      <c r="G68" s="316"/>
      <c r="H68" s="317"/>
      <c r="I68" s="49"/>
      <c r="J68" s="49"/>
      <c r="K68" s="49"/>
      <c r="L68" s="49"/>
      <c r="M68" s="49"/>
      <c r="N68" s="49"/>
      <c r="O68" s="316"/>
      <c r="P68" s="316"/>
      <c r="Q68" s="316"/>
      <c r="R68" s="316"/>
      <c r="S68" s="318"/>
      <c r="T68" s="318"/>
      <c r="U68" s="319"/>
      <c r="V68" s="319"/>
      <c r="W68" s="319"/>
      <c r="X68" s="319"/>
      <c r="Y68" s="319"/>
      <c r="Z68" s="316"/>
      <c r="AA68" s="316"/>
      <c r="AB68" s="316"/>
      <c r="AC68" s="316"/>
      <c r="AD68" s="320"/>
      <c r="AE68" s="318"/>
      <c r="AF68" s="321"/>
      <c r="AG68" s="321"/>
      <c r="AH68" s="321"/>
      <c r="AI68" s="316"/>
      <c r="AJ68" s="316"/>
      <c r="AK68" s="316"/>
      <c r="AL68" s="316"/>
      <c r="AM68" s="316"/>
      <c r="AN68" s="316"/>
      <c r="AO68" s="316"/>
      <c r="AP68" s="316"/>
      <c r="AQ68" s="322"/>
      <c r="AR68" s="322"/>
      <c r="AS68" s="323"/>
      <c r="AT68" s="249"/>
      <c r="AU68" s="249"/>
      <c r="AV68" s="249"/>
      <c r="AW68" s="249"/>
      <c r="AX68" s="249"/>
      <c r="AY68" s="324"/>
      <c r="AZ68" s="249"/>
    </row>
    <row r="69" spans="1:52" ht="75.75" customHeight="1" thickBot="1" x14ac:dyDescent="0.45">
      <c r="A69" s="316"/>
      <c r="B69" s="316"/>
      <c r="C69" s="316"/>
      <c r="D69" s="316"/>
      <c r="E69" s="316"/>
      <c r="F69" s="316"/>
      <c r="G69" s="316"/>
      <c r="H69" s="317"/>
      <c r="I69" s="49"/>
      <c r="J69" s="49"/>
      <c r="K69" s="49"/>
      <c r="L69" s="49"/>
      <c r="M69" s="49"/>
      <c r="N69" s="49"/>
      <c r="O69" s="316"/>
      <c r="P69" s="316"/>
      <c r="Q69" s="316"/>
      <c r="R69" s="316"/>
      <c r="S69" s="318"/>
      <c r="T69" s="318"/>
      <c r="U69" s="319"/>
      <c r="V69" s="325" t="s">
        <v>416</v>
      </c>
      <c r="W69" s="326"/>
      <c r="X69" s="327"/>
      <c r="Y69" s="328">
        <f>AVERAGE(Y5:Y67)</f>
        <v>0.71477488414793766</v>
      </c>
      <c r="Z69" s="316"/>
      <c r="AA69" s="316"/>
      <c r="AB69" s="316"/>
      <c r="AC69" s="316"/>
      <c r="AD69" s="320"/>
      <c r="AE69" s="318"/>
      <c r="AF69" s="329" t="s">
        <v>410</v>
      </c>
      <c r="AG69" s="330"/>
      <c r="AH69" s="331">
        <f>AVERAGE(AH5:AH67)</f>
        <v>0.6008174118197851</v>
      </c>
      <c r="AI69" s="316"/>
      <c r="AJ69" s="316"/>
      <c r="AK69" s="316"/>
      <c r="AL69" s="316"/>
      <c r="AM69" s="316"/>
      <c r="AN69" s="316"/>
      <c r="AO69" s="332" t="s">
        <v>370</v>
      </c>
      <c r="AP69" s="333"/>
      <c r="AQ69" s="334">
        <f>SUM(AQ5:AQ67)</f>
        <v>493314578539.13</v>
      </c>
      <c r="AR69" s="335">
        <f>SUM(AR5:AR67)</f>
        <v>474023744830.34009</v>
      </c>
      <c r="AS69" s="336">
        <f>+AR69/AQ69</f>
        <v>0.96089547208210113</v>
      </c>
      <c r="AT69" s="249"/>
      <c r="AU69" s="249"/>
      <c r="AV69" s="249"/>
      <c r="AW69" s="249"/>
      <c r="AX69" s="249"/>
      <c r="AY69" s="324"/>
      <c r="AZ69" s="249"/>
    </row>
    <row r="70" spans="1:52" ht="63" customHeight="1" x14ac:dyDescent="0.4">
      <c r="A70" s="316"/>
      <c r="B70" s="316"/>
      <c r="C70" s="316"/>
      <c r="D70" s="316"/>
      <c r="E70" s="316"/>
      <c r="F70" s="316"/>
      <c r="G70" s="316"/>
      <c r="H70" s="317"/>
      <c r="I70" s="49"/>
      <c r="J70" s="49"/>
      <c r="K70" s="49"/>
      <c r="L70" s="49"/>
      <c r="M70" s="49"/>
      <c r="N70" s="49"/>
      <c r="O70" s="316"/>
      <c r="P70" s="316"/>
      <c r="Q70" s="316"/>
      <c r="R70" s="316"/>
      <c r="S70" s="318"/>
      <c r="T70" s="318"/>
      <c r="U70" s="319"/>
      <c r="V70" s="319"/>
      <c r="W70" s="319"/>
      <c r="X70" s="319"/>
      <c r="Y70" s="319"/>
      <c r="Z70" s="316"/>
      <c r="AA70" s="316"/>
      <c r="AB70" s="316"/>
      <c r="AC70" s="316"/>
      <c r="AD70" s="320"/>
      <c r="AE70" s="318"/>
      <c r="AF70" s="337"/>
      <c r="AG70" s="337"/>
      <c r="AH70" s="338"/>
      <c r="AI70" s="316"/>
      <c r="AJ70" s="316"/>
      <c r="AK70" s="316"/>
      <c r="AL70" s="316"/>
      <c r="AM70" s="316"/>
      <c r="AN70" s="316"/>
      <c r="AO70" s="316"/>
      <c r="AP70" s="316"/>
      <c r="AQ70" s="322"/>
      <c r="AR70" s="322"/>
      <c r="AS70" s="323"/>
      <c r="AT70" s="249"/>
      <c r="AU70" s="249"/>
      <c r="AV70" s="249"/>
      <c r="AW70" s="249"/>
      <c r="AX70" s="249"/>
      <c r="AY70" s="324"/>
      <c r="AZ70" s="249"/>
    </row>
    <row r="71" spans="1:52" ht="27" thickBot="1" x14ac:dyDescent="0.45">
      <c r="A71" s="316"/>
      <c r="B71" s="316"/>
      <c r="C71" s="316"/>
      <c r="D71" s="316"/>
      <c r="E71" s="316"/>
      <c r="F71" s="316"/>
      <c r="G71" s="316"/>
      <c r="H71" s="317"/>
      <c r="I71" s="49"/>
      <c r="J71" s="49"/>
      <c r="K71" s="49"/>
      <c r="L71" s="49"/>
      <c r="M71" s="49"/>
      <c r="N71" s="49"/>
      <c r="O71" s="316"/>
      <c r="P71" s="316"/>
      <c r="Q71" s="316"/>
      <c r="R71" s="316"/>
      <c r="S71" s="318"/>
      <c r="T71" s="318"/>
      <c r="U71" s="319"/>
      <c r="V71" s="319"/>
      <c r="W71" s="319"/>
      <c r="X71" s="319"/>
      <c r="Y71" s="319"/>
      <c r="Z71" s="316"/>
      <c r="AA71" s="316"/>
      <c r="AB71" s="316"/>
      <c r="AC71" s="316"/>
      <c r="AD71" s="320"/>
      <c r="AE71" s="318"/>
      <c r="AF71" s="321"/>
      <c r="AG71" s="321"/>
      <c r="AH71" s="321"/>
      <c r="AI71" s="316"/>
      <c r="AJ71" s="316"/>
      <c r="AK71" s="316"/>
      <c r="AL71" s="316"/>
      <c r="AM71" s="316"/>
      <c r="AN71" s="316"/>
      <c r="AO71" s="316"/>
      <c r="AP71" s="316"/>
      <c r="AQ71" s="322"/>
      <c r="AR71" s="322"/>
      <c r="AS71" s="323"/>
      <c r="AT71" s="249"/>
      <c r="AU71" s="249"/>
      <c r="AV71" s="249"/>
      <c r="AW71" s="249"/>
      <c r="AX71" s="249"/>
      <c r="AY71" s="324"/>
      <c r="AZ71" s="249"/>
    </row>
    <row r="72" spans="1:52" ht="26.25" customHeight="1" x14ac:dyDescent="0.4">
      <c r="A72" s="316"/>
      <c r="B72" s="316"/>
      <c r="C72" s="316"/>
      <c r="D72" s="316"/>
      <c r="E72" s="316"/>
      <c r="F72" s="316"/>
      <c r="G72" s="316"/>
      <c r="H72" s="317"/>
      <c r="I72" s="49"/>
      <c r="J72" s="49"/>
      <c r="K72" s="49"/>
      <c r="L72" s="49"/>
      <c r="M72" s="49"/>
      <c r="N72" s="49"/>
      <c r="O72" s="316"/>
      <c r="P72" s="316"/>
      <c r="Q72" s="316"/>
      <c r="R72" s="316"/>
      <c r="S72" s="318"/>
      <c r="T72" s="318"/>
      <c r="U72" s="319"/>
      <c r="V72" s="319"/>
      <c r="W72" s="319"/>
      <c r="X72" s="319"/>
      <c r="Y72" s="319"/>
      <c r="Z72" s="316"/>
      <c r="AA72" s="316"/>
      <c r="AB72" s="316"/>
      <c r="AC72" s="316"/>
      <c r="AD72" s="320"/>
      <c r="AE72" s="318"/>
      <c r="AF72" s="339" t="s">
        <v>413</v>
      </c>
      <c r="AG72" s="340"/>
      <c r="AH72" s="341">
        <v>0.56914881799207673</v>
      </c>
      <c r="AI72" s="316"/>
      <c r="AJ72" s="316"/>
      <c r="AK72" s="316"/>
      <c r="AL72" s="316"/>
      <c r="AM72" s="316"/>
      <c r="AN72" s="316"/>
      <c r="AO72" s="316"/>
      <c r="AP72" s="316"/>
      <c r="AQ72" s="322"/>
      <c r="AR72" s="322"/>
      <c r="AS72" s="323"/>
      <c r="AT72" s="249"/>
      <c r="AU72" s="249"/>
      <c r="AV72" s="249"/>
      <c r="AW72" s="249"/>
      <c r="AX72" s="249"/>
      <c r="AY72" s="324"/>
      <c r="AZ72" s="249"/>
    </row>
    <row r="73" spans="1:52" ht="63" customHeight="1" thickBot="1" x14ac:dyDescent="0.45">
      <c r="A73" s="316"/>
      <c r="B73" s="316"/>
      <c r="C73" s="316"/>
      <c r="D73" s="316"/>
      <c r="E73" s="316"/>
      <c r="F73" s="316"/>
      <c r="G73" s="316"/>
      <c r="H73" s="317"/>
      <c r="I73" s="49"/>
      <c r="J73" s="49"/>
      <c r="K73" s="49"/>
      <c r="L73" s="49"/>
      <c r="M73" s="49"/>
      <c r="N73" s="49"/>
      <c r="O73" s="316"/>
      <c r="P73" s="316"/>
      <c r="Q73" s="316"/>
      <c r="R73" s="316"/>
      <c r="S73" s="318"/>
      <c r="T73" s="318"/>
      <c r="U73" s="319"/>
      <c r="V73" s="319"/>
      <c r="W73" s="319"/>
      <c r="X73" s="319"/>
      <c r="Y73" s="319"/>
      <c r="Z73" s="316"/>
      <c r="AA73" s="316"/>
      <c r="AB73" s="316"/>
      <c r="AC73" s="316"/>
      <c r="AD73" s="320"/>
      <c r="AE73" s="318"/>
      <c r="AF73" s="342"/>
      <c r="AG73" s="343"/>
      <c r="AH73" s="344"/>
      <c r="AI73" s="316"/>
      <c r="AJ73" s="316"/>
      <c r="AK73" s="316"/>
      <c r="AL73" s="316"/>
      <c r="AM73" s="316"/>
      <c r="AN73" s="316"/>
      <c r="AO73" s="316"/>
      <c r="AP73" s="316"/>
      <c r="AQ73" s="322"/>
      <c r="AR73" s="322"/>
      <c r="AS73" s="323"/>
      <c r="AT73" s="249"/>
      <c r="AU73" s="249"/>
      <c r="AV73" s="249"/>
      <c r="AW73" s="249"/>
      <c r="AX73" s="249"/>
      <c r="AY73" s="324"/>
      <c r="AZ73" s="249"/>
    </row>
    <row r="74" spans="1:52" x14ac:dyDescent="0.4">
      <c r="A74" s="316"/>
      <c r="B74" s="316"/>
      <c r="C74" s="316"/>
      <c r="D74" s="316"/>
      <c r="E74" s="316"/>
      <c r="F74" s="316"/>
      <c r="G74" s="316"/>
      <c r="H74" s="317"/>
      <c r="I74" s="49"/>
      <c r="J74" s="49"/>
      <c r="K74" s="49"/>
      <c r="L74" s="49"/>
      <c r="M74" s="49"/>
      <c r="N74" s="49"/>
      <c r="O74" s="316"/>
      <c r="P74" s="316"/>
      <c r="Q74" s="316"/>
      <c r="R74" s="316"/>
      <c r="S74" s="318"/>
      <c r="T74" s="318"/>
      <c r="U74" s="319"/>
      <c r="V74" s="319"/>
      <c r="W74" s="319"/>
      <c r="X74" s="319"/>
      <c r="Y74" s="319"/>
      <c r="Z74" s="316"/>
      <c r="AA74" s="316"/>
      <c r="AB74" s="316"/>
      <c r="AC74" s="316"/>
      <c r="AD74" s="320"/>
      <c r="AE74" s="318"/>
      <c r="AF74" s="321"/>
      <c r="AG74" s="321"/>
      <c r="AH74" s="321"/>
      <c r="AI74" s="316"/>
      <c r="AJ74" s="316"/>
      <c r="AK74" s="316"/>
      <c r="AL74" s="316"/>
      <c r="AM74" s="316"/>
      <c r="AN74" s="316"/>
      <c r="AO74" s="316"/>
      <c r="AP74" s="316"/>
      <c r="AQ74" s="322"/>
      <c r="AR74" s="322"/>
      <c r="AS74" s="323"/>
      <c r="AT74" s="249"/>
      <c r="AU74" s="249"/>
      <c r="AV74" s="249"/>
      <c r="AW74" s="249"/>
      <c r="AX74" s="249"/>
      <c r="AY74" s="324"/>
      <c r="AZ74" s="249"/>
    </row>
    <row r="75" spans="1:52" x14ac:dyDescent="0.4">
      <c r="A75" s="316"/>
      <c r="B75" s="316"/>
      <c r="C75" s="316"/>
      <c r="D75" s="316"/>
      <c r="E75" s="316"/>
      <c r="F75" s="316"/>
      <c r="G75" s="316"/>
      <c r="H75" s="317"/>
      <c r="I75" s="49"/>
      <c r="J75" s="49"/>
      <c r="K75" s="49"/>
      <c r="L75" s="49"/>
      <c r="M75" s="49"/>
      <c r="N75" s="49"/>
      <c r="O75" s="316"/>
      <c r="P75" s="316"/>
      <c r="Q75" s="316"/>
      <c r="R75" s="316"/>
      <c r="S75" s="318"/>
      <c r="T75" s="318"/>
      <c r="U75" s="319"/>
      <c r="V75" s="319"/>
      <c r="W75" s="319"/>
      <c r="X75" s="319"/>
      <c r="Y75" s="319"/>
      <c r="Z75" s="316"/>
      <c r="AA75" s="316"/>
      <c r="AB75" s="316"/>
      <c r="AC75" s="316"/>
      <c r="AD75" s="320"/>
      <c r="AE75" s="318"/>
      <c r="AF75" s="321"/>
      <c r="AG75" s="321"/>
      <c r="AH75" s="321"/>
      <c r="AI75" s="316"/>
      <c r="AJ75" s="316"/>
      <c r="AK75" s="316"/>
      <c r="AL75" s="316"/>
      <c r="AM75" s="316"/>
      <c r="AN75" s="316"/>
      <c r="AO75" s="316"/>
      <c r="AP75" s="316"/>
      <c r="AQ75" s="322"/>
      <c r="AR75" s="322"/>
      <c r="AS75" s="323"/>
      <c r="AT75" s="249"/>
      <c r="AU75" s="249"/>
      <c r="AV75" s="249"/>
      <c r="AW75" s="249"/>
      <c r="AX75" s="249"/>
      <c r="AY75" s="324"/>
      <c r="AZ75" s="249"/>
    </row>
    <row r="76" spans="1:52" x14ac:dyDescent="0.4">
      <c r="A76" s="316"/>
      <c r="B76" s="316"/>
      <c r="C76" s="316"/>
      <c r="D76" s="316"/>
      <c r="E76" s="316"/>
      <c r="F76" s="316"/>
      <c r="G76" s="316"/>
      <c r="H76" s="317"/>
      <c r="I76" s="49"/>
      <c r="J76" s="49"/>
      <c r="K76" s="49"/>
      <c r="L76" s="49"/>
      <c r="M76" s="49"/>
      <c r="N76" s="49"/>
      <c r="O76" s="316"/>
      <c r="P76" s="316"/>
      <c r="Q76" s="316"/>
      <c r="R76" s="316"/>
      <c r="S76" s="318"/>
      <c r="T76" s="318"/>
      <c r="U76" s="319"/>
      <c r="V76" s="319"/>
      <c r="W76" s="319"/>
      <c r="X76" s="319"/>
      <c r="Y76" s="319"/>
      <c r="Z76" s="316"/>
      <c r="AA76" s="316"/>
      <c r="AB76" s="316"/>
      <c r="AC76" s="316"/>
      <c r="AD76" s="320"/>
      <c r="AE76" s="318"/>
      <c r="AF76" s="321"/>
      <c r="AG76" s="321"/>
      <c r="AH76" s="321"/>
      <c r="AI76" s="316"/>
      <c r="AJ76" s="316"/>
      <c r="AK76" s="316"/>
      <c r="AL76" s="316"/>
      <c r="AM76" s="316"/>
      <c r="AN76" s="316"/>
      <c r="AO76" s="316"/>
      <c r="AP76" s="316"/>
      <c r="AQ76" s="322"/>
      <c r="AR76" s="322"/>
      <c r="AS76" s="323"/>
      <c r="AT76" s="249"/>
      <c r="AU76" s="249"/>
      <c r="AV76" s="249"/>
      <c r="AW76" s="249"/>
      <c r="AX76" s="249"/>
      <c r="AY76" s="324"/>
      <c r="AZ76" s="249"/>
    </row>
    <row r="77" spans="1:52" x14ac:dyDescent="0.4">
      <c r="A77" s="316"/>
      <c r="B77" s="316"/>
      <c r="C77" s="316"/>
      <c r="D77" s="316"/>
      <c r="E77" s="316"/>
      <c r="F77" s="316"/>
      <c r="G77" s="316"/>
      <c r="H77" s="317"/>
      <c r="I77" s="49"/>
      <c r="J77" s="49"/>
      <c r="K77" s="49"/>
      <c r="L77" s="49"/>
      <c r="M77" s="49"/>
      <c r="N77" s="49"/>
      <c r="O77" s="316"/>
      <c r="P77" s="316"/>
      <c r="Q77" s="316"/>
      <c r="R77" s="316"/>
      <c r="S77" s="318"/>
      <c r="T77" s="318"/>
      <c r="U77" s="319"/>
      <c r="V77" s="319"/>
      <c r="W77" s="319"/>
      <c r="X77" s="319"/>
      <c r="Y77" s="319"/>
      <c r="Z77" s="316"/>
      <c r="AA77" s="316"/>
      <c r="AB77" s="316"/>
      <c r="AC77" s="316"/>
      <c r="AD77" s="320"/>
      <c r="AE77" s="318"/>
      <c r="AF77" s="321"/>
      <c r="AG77" s="321"/>
      <c r="AH77" s="321"/>
      <c r="AI77" s="316"/>
      <c r="AJ77" s="316"/>
      <c r="AK77" s="316"/>
      <c r="AL77" s="316"/>
      <c r="AM77" s="316"/>
      <c r="AN77" s="316"/>
      <c r="AO77" s="316"/>
      <c r="AP77" s="316"/>
      <c r="AQ77" s="322"/>
      <c r="AR77" s="322"/>
      <c r="AS77" s="323"/>
      <c r="AT77" s="249"/>
      <c r="AU77" s="249"/>
      <c r="AV77" s="249"/>
      <c r="AW77" s="249"/>
      <c r="AX77" s="249"/>
      <c r="AY77" s="324"/>
      <c r="AZ77" s="249"/>
    </row>
    <row r="78" spans="1:52" x14ac:dyDescent="0.4">
      <c r="A78" s="316"/>
      <c r="B78" s="316"/>
      <c r="C78" s="316"/>
      <c r="D78" s="316"/>
      <c r="E78" s="316"/>
      <c r="F78" s="316"/>
      <c r="G78" s="316"/>
      <c r="H78" s="317"/>
      <c r="I78" s="49"/>
      <c r="J78" s="49"/>
      <c r="K78" s="49"/>
      <c r="L78" s="49"/>
      <c r="M78" s="49"/>
      <c r="N78" s="49"/>
      <c r="O78" s="316"/>
      <c r="P78" s="316"/>
      <c r="Q78" s="316"/>
      <c r="R78" s="316"/>
      <c r="S78" s="318"/>
      <c r="T78" s="318"/>
      <c r="U78" s="319"/>
      <c r="V78" s="319"/>
      <c r="W78" s="319"/>
      <c r="X78" s="319"/>
      <c r="Y78" s="319"/>
      <c r="Z78" s="316"/>
      <c r="AA78" s="316"/>
      <c r="AB78" s="316"/>
      <c r="AC78" s="316"/>
      <c r="AD78" s="320"/>
      <c r="AE78" s="318"/>
      <c r="AF78" s="321"/>
      <c r="AG78" s="321"/>
      <c r="AH78" s="321"/>
      <c r="AI78" s="316"/>
      <c r="AJ78" s="316"/>
      <c r="AK78" s="316"/>
      <c r="AL78" s="316"/>
      <c r="AM78" s="316"/>
      <c r="AN78" s="316"/>
      <c r="AO78" s="316"/>
      <c r="AP78" s="316"/>
      <c r="AQ78" s="322"/>
      <c r="AR78" s="322"/>
      <c r="AS78" s="323"/>
      <c r="AT78" s="249"/>
      <c r="AU78" s="249"/>
      <c r="AV78" s="249"/>
      <c r="AW78" s="249"/>
      <c r="AX78" s="249"/>
      <c r="AY78" s="324"/>
      <c r="AZ78" s="249"/>
    </row>
  </sheetData>
  <mergeCells count="350">
    <mergeCell ref="V69:X69"/>
    <mergeCell ref="X44:X45"/>
    <mergeCell ref="Y22:Y48"/>
    <mergeCell ref="X49:X54"/>
    <mergeCell ref="X55:X57"/>
    <mergeCell ref="Y49:Y57"/>
    <mergeCell ref="X58:X61"/>
    <mergeCell ref="X63:X64"/>
    <mergeCell ref="Y58:Y64"/>
    <mergeCell ref="AF72:AG73"/>
    <mergeCell ref="AH72:AH73"/>
    <mergeCell ref="W3:W4"/>
    <mergeCell ref="X3:X4"/>
    <mergeCell ref="Y3:Y4"/>
    <mergeCell ref="V3:V4"/>
    <mergeCell ref="V9:V10"/>
    <mergeCell ref="V36:V37"/>
    <mergeCell ref="X5:X8"/>
    <mergeCell ref="W9:W10"/>
    <mergeCell ref="X9:X10"/>
    <mergeCell ref="X11:X14"/>
    <mergeCell ref="X15:X18"/>
    <mergeCell ref="X20:X21"/>
    <mergeCell ref="Y5:Y21"/>
    <mergeCell ref="X23:X27"/>
    <mergeCell ref="X28:X32"/>
    <mergeCell ref="X33:X35"/>
    <mergeCell ref="W36:W37"/>
    <mergeCell ref="X36:X37"/>
    <mergeCell ref="X38:X39"/>
    <mergeCell ref="X40:X43"/>
    <mergeCell ref="X66:X67"/>
    <mergeCell ref="Y65:Y67"/>
    <mergeCell ref="AP29:AP34"/>
    <mergeCell ref="AO66:AO67"/>
    <mergeCell ref="AP66:AP67"/>
    <mergeCell ref="AQ66:AQ67"/>
    <mergeCell ref="AR66:AR67"/>
    <mergeCell ref="AS65:AS67"/>
    <mergeCell ref="AO69:AP69"/>
    <mergeCell ref="AF69:AG69"/>
    <mergeCell ref="AO61:AO62"/>
    <mergeCell ref="AP61:AP62"/>
    <mergeCell ref="AQ61:AQ62"/>
    <mergeCell ref="AR61:AR62"/>
    <mergeCell ref="AG58:AG61"/>
    <mergeCell ref="AG63:AG64"/>
    <mergeCell ref="AH58:AH64"/>
    <mergeCell ref="AG66:AG67"/>
    <mergeCell ref="AH65:AH67"/>
    <mergeCell ref="AR63:AR64"/>
    <mergeCell ref="AO58:AO60"/>
    <mergeCell ref="AP58:AP60"/>
    <mergeCell ref="AQ58:AQ60"/>
    <mergeCell ref="AR58:AR60"/>
    <mergeCell ref="AS58:AS64"/>
    <mergeCell ref="AR49:AR52"/>
    <mergeCell ref="AS49:AS57"/>
    <mergeCell ref="AO44:AO48"/>
    <mergeCell ref="AP44:AP48"/>
    <mergeCell ref="AQ44:AQ48"/>
    <mergeCell ref="AR44:AR48"/>
    <mergeCell ref="AO35:AO43"/>
    <mergeCell ref="AP35:AP43"/>
    <mergeCell ref="AQ35:AQ43"/>
    <mergeCell ref="AR35:AR43"/>
    <mergeCell ref="AG55:AG57"/>
    <mergeCell ref="AH49:AH57"/>
    <mergeCell ref="AP15:AP16"/>
    <mergeCell ref="AQ15:AQ16"/>
    <mergeCell ref="AR15:AR16"/>
    <mergeCell ref="AO13:AO14"/>
    <mergeCell ref="AP13:AP14"/>
    <mergeCell ref="AQ13:AQ14"/>
    <mergeCell ref="AR13:AR14"/>
    <mergeCell ref="AP17:AP18"/>
    <mergeCell ref="AQ17:AQ18"/>
    <mergeCell ref="AR17:AR18"/>
    <mergeCell ref="AO15:AO16"/>
    <mergeCell ref="AO22:AO28"/>
    <mergeCell ref="AP22:AP28"/>
    <mergeCell ref="AQ22:AQ28"/>
    <mergeCell ref="AR22:AR28"/>
    <mergeCell ref="AO53:AO57"/>
    <mergeCell ref="AP53:AP57"/>
    <mergeCell ref="AQ53:AQ57"/>
    <mergeCell ref="AR53:AR57"/>
    <mergeCell ref="AO49:AO52"/>
    <mergeCell ref="AP49:AP52"/>
    <mergeCell ref="AQ49:AQ52"/>
    <mergeCell ref="AB3:AB4"/>
    <mergeCell ref="Z22:Z27"/>
    <mergeCell ref="Z5:Z8"/>
    <mergeCell ref="Z13:Z14"/>
    <mergeCell ref="AF3:AF4"/>
    <mergeCell ref="AG3:AG4"/>
    <mergeCell ref="AH3:AH4"/>
    <mergeCell ref="AG5:AG8"/>
    <mergeCell ref="AG9:AG10"/>
    <mergeCell ref="AG11:AG14"/>
    <mergeCell ref="AG15:AG18"/>
    <mergeCell ref="AU5:AU8"/>
    <mergeCell ref="AV5:AV8"/>
    <mergeCell ref="AW5:AW8"/>
    <mergeCell ref="AT13:AT14"/>
    <mergeCell ref="AG33:AG35"/>
    <mergeCell ref="AG36:AG37"/>
    <mergeCell ref="AG38:AG39"/>
    <mergeCell ref="AG40:AG43"/>
    <mergeCell ref="AG44:AG45"/>
    <mergeCell ref="AH22:AH48"/>
    <mergeCell ref="AG20:AG21"/>
    <mergeCell ref="AH5:AH21"/>
    <mergeCell ref="AT38:AT39"/>
    <mergeCell ref="AV22:AV27"/>
    <mergeCell ref="AW22:AW27"/>
    <mergeCell ref="AU28:AU32"/>
    <mergeCell ref="AV28:AV32"/>
    <mergeCell ref="AT15:AT18"/>
    <mergeCell ref="AU13:AU14"/>
    <mergeCell ref="AV13:AV14"/>
    <mergeCell ref="AW13:AW14"/>
    <mergeCell ref="AU15:AU18"/>
    <mergeCell ref="AV15:AV18"/>
    <mergeCell ref="AW15:AW18"/>
    <mergeCell ref="AU38:AU39"/>
    <mergeCell ref="AV38:AV39"/>
    <mergeCell ref="AW38:AW39"/>
    <mergeCell ref="AW28:AW32"/>
    <mergeCell ref="Z66:Z67"/>
    <mergeCell ref="Z28:Z32"/>
    <mergeCell ref="Z33:Z35"/>
    <mergeCell ref="Z38:Z39"/>
    <mergeCell ref="Z40:Z43"/>
    <mergeCell ref="Z44:Z45"/>
    <mergeCell ref="Z49:Z54"/>
    <mergeCell ref="Z55:Z57"/>
    <mergeCell ref="Z58:Z60"/>
    <mergeCell ref="Z63:Z64"/>
    <mergeCell ref="AT36:AT37"/>
    <mergeCell ref="AU36:AU37"/>
    <mergeCell ref="AV36:AV37"/>
    <mergeCell ref="AW36:AW37"/>
    <mergeCell ref="AT63:AT64"/>
    <mergeCell ref="AV44:AV45"/>
    <mergeCell ref="AW44:AW45"/>
    <mergeCell ref="AQ29:AQ34"/>
    <mergeCell ref="AR29:AR34"/>
    <mergeCell ref="AG49:AG54"/>
    <mergeCell ref="Z20:Z21"/>
    <mergeCell ref="Z15:Z18"/>
    <mergeCell ref="U9:U10"/>
    <mergeCell ref="AG22:AG27"/>
    <mergeCell ref="AG28:AG32"/>
    <mergeCell ref="AF36:AF37"/>
    <mergeCell ref="AY36:AY37"/>
    <mergeCell ref="AU33:AU35"/>
    <mergeCell ref="AV33:AV35"/>
    <mergeCell ref="AO11:AO12"/>
    <mergeCell ref="AP11:AP12"/>
    <mergeCell ref="AQ11:AQ12"/>
    <mergeCell ref="AR11:AR12"/>
    <mergeCell ref="AT20:AT21"/>
    <mergeCell ref="AU20:AU21"/>
    <mergeCell ref="AV20:AV21"/>
    <mergeCell ref="AS5:AS21"/>
    <mergeCell ref="AO19:AO21"/>
    <mergeCell ref="AP19:AP21"/>
    <mergeCell ref="AQ19:AQ21"/>
    <mergeCell ref="AR19:AR21"/>
    <mergeCell ref="AO17:AO18"/>
    <mergeCell ref="AS22:AS48"/>
    <mergeCell ref="AO29:AO34"/>
    <mergeCell ref="AI36:AI37"/>
    <mergeCell ref="AE36:AE37"/>
    <mergeCell ref="AC36:AC37"/>
    <mergeCell ref="AB36:AB37"/>
    <mergeCell ref="AA36:AA37"/>
    <mergeCell ref="Z36:Z37"/>
    <mergeCell ref="S36:S37"/>
    <mergeCell ref="T36:T37"/>
    <mergeCell ref="AD36:AD37"/>
    <mergeCell ref="U36:U37"/>
    <mergeCell ref="I49:I54"/>
    <mergeCell ref="I55:I57"/>
    <mergeCell ref="I5:I8"/>
    <mergeCell ref="S9:S10"/>
    <mergeCell ref="I36:I37"/>
    <mergeCell ref="I15:I18"/>
    <mergeCell ref="I20:I21"/>
    <mergeCell ref="I22:I27"/>
    <mergeCell ref="I28:I32"/>
    <mergeCell ref="I33:I35"/>
    <mergeCell ref="I66:I67"/>
    <mergeCell ref="D22:D48"/>
    <mergeCell ref="D49:D57"/>
    <mergeCell ref="D58:D64"/>
    <mergeCell ref="D65:D67"/>
    <mergeCell ref="E55:E57"/>
    <mergeCell ref="E58:E64"/>
    <mergeCell ref="E65:E67"/>
    <mergeCell ref="F29:F31"/>
    <mergeCell ref="E49:E54"/>
    <mergeCell ref="G58:G64"/>
    <mergeCell ref="G29:G31"/>
    <mergeCell ref="G32:G34"/>
    <mergeCell ref="G22:G25"/>
    <mergeCell ref="G26:G28"/>
    <mergeCell ref="F65:F67"/>
    <mergeCell ref="E32:E34"/>
    <mergeCell ref="I63:I64"/>
    <mergeCell ref="H65:H67"/>
    <mergeCell ref="I38:I39"/>
    <mergeCell ref="H58:H64"/>
    <mergeCell ref="H32:H34"/>
    <mergeCell ref="I58:I61"/>
    <mergeCell ref="G55:G57"/>
    <mergeCell ref="F49:F54"/>
    <mergeCell ref="F55:F57"/>
    <mergeCell ref="F58:F64"/>
    <mergeCell ref="H22:H25"/>
    <mergeCell ref="H26:H28"/>
    <mergeCell ref="H29:H31"/>
    <mergeCell ref="F26:F28"/>
    <mergeCell ref="E22:E25"/>
    <mergeCell ref="E26:E28"/>
    <mergeCell ref="E29:E31"/>
    <mergeCell ref="G49:G54"/>
    <mergeCell ref="H49:H54"/>
    <mergeCell ref="H55:H57"/>
    <mergeCell ref="A1:AW1"/>
    <mergeCell ref="A3:A4"/>
    <mergeCell ref="B3:B4"/>
    <mergeCell ref="C3:C4"/>
    <mergeCell ref="D3:D4"/>
    <mergeCell ref="E3:E4"/>
    <mergeCell ref="I3:I4"/>
    <mergeCell ref="J3:J4"/>
    <mergeCell ref="M3:M4"/>
    <mergeCell ref="N3:N4"/>
    <mergeCell ref="O3:O4"/>
    <mergeCell ref="P3:P4"/>
    <mergeCell ref="Q3:Q4"/>
    <mergeCell ref="S3:S4"/>
    <mergeCell ref="Z3:Z4"/>
    <mergeCell ref="K3:K4"/>
    <mergeCell ref="AO3:AS3"/>
    <mergeCell ref="AA3:AA4"/>
    <mergeCell ref="AC3:AC4"/>
    <mergeCell ref="G3:G4"/>
    <mergeCell ref="T3:T4"/>
    <mergeCell ref="F3:F4"/>
    <mergeCell ref="AM3:AM4"/>
    <mergeCell ref="AD3:AD4"/>
    <mergeCell ref="F5:F6"/>
    <mergeCell ref="AU63:AU64"/>
    <mergeCell ref="AV63:AV64"/>
    <mergeCell ref="AW63:AW64"/>
    <mergeCell ref="AT66:AT67"/>
    <mergeCell ref="AU66:AU67"/>
    <mergeCell ref="AV66:AV67"/>
    <mergeCell ref="AT40:AT43"/>
    <mergeCell ref="AU40:AU43"/>
    <mergeCell ref="AV40:AV43"/>
    <mergeCell ref="AW40:AW43"/>
    <mergeCell ref="AT44:AT45"/>
    <mergeCell ref="AU44:AU45"/>
    <mergeCell ref="AW66:AW67"/>
    <mergeCell ref="AV55:AV57"/>
    <mergeCell ref="AW55:AW57"/>
    <mergeCell ref="AO63:AO64"/>
    <mergeCell ref="AP63:AP64"/>
    <mergeCell ref="AQ63:AQ64"/>
    <mergeCell ref="J36:J37"/>
    <mergeCell ref="K36:K37"/>
    <mergeCell ref="H5:H6"/>
    <mergeCell ref="F22:F25"/>
    <mergeCell ref="G5:G6"/>
    <mergeCell ref="C5:C67"/>
    <mergeCell ref="B5:B67"/>
    <mergeCell ref="A5:A67"/>
    <mergeCell ref="AN3:AN4"/>
    <mergeCell ref="AI3:AL3"/>
    <mergeCell ref="AE3:AE4"/>
    <mergeCell ref="U3:U4"/>
    <mergeCell ref="R3:R4"/>
    <mergeCell ref="L3:L4"/>
    <mergeCell ref="H3:H4"/>
    <mergeCell ref="G7:G8"/>
    <mergeCell ref="F7:F8"/>
    <mergeCell ref="F9:F11"/>
    <mergeCell ref="F12:F13"/>
    <mergeCell ref="H7:H8"/>
    <mergeCell ref="H9:H11"/>
    <mergeCell ref="H12:H13"/>
    <mergeCell ref="E12:E13"/>
    <mergeCell ref="G12:G13"/>
    <mergeCell ref="D5:D21"/>
    <mergeCell ref="I9:I10"/>
    <mergeCell ref="I11:I14"/>
    <mergeCell ref="E5:E6"/>
    <mergeCell ref="K9:K10"/>
    <mergeCell ref="AW20:AW21"/>
    <mergeCell ref="AT22:AT27"/>
    <mergeCell ref="AU22:AU27"/>
    <mergeCell ref="E14:H21"/>
    <mergeCell ref="E35:H48"/>
    <mergeCell ref="F32:F34"/>
    <mergeCell ref="E7:E8"/>
    <mergeCell ref="E9:E11"/>
    <mergeCell ref="M9:M10"/>
    <mergeCell ref="N9:N10"/>
    <mergeCell ref="O9:O10"/>
    <mergeCell ref="Q9:Q10"/>
    <mergeCell ref="R9:R10"/>
    <mergeCell ref="P9:P10"/>
    <mergeCell ref="L9:L10"/>
    <mergeCell ref="J9:J10"/>
    <mergeCell ref="L36:L37"/>
    <mergeCell ref="M36:M37"/>
    <mergeCell ref="P36:P37"/>
    <mergeCell ref="R36:R37"/>
    <mergeCell ref="I40:I43"/>
    <mergeCell ref="G9:G11"/>
    <mergeCell ref="I44:I45"/>
    <mergeCell ref="T9:T10"/>
    <mergeCell ref="G65:G67"/>
    <mergeCell ref="AY3:AY4"/>
    <mergeCell ref="AX36:AX37"/>
    <mergeCell ref="AJ36:AJ37"/>
    <mergeCell ref="AK36:AK37"/>
    <mergeCell ref="AL36:AL37"/>
    <mergeCell ref="AM36:AM37"/>
    <mergeCell ref="AN36:AN37"/>
    <mergeCell ref="AT33:AT35"/>
    <mergeCell ref="AT3:AW3"/>
    <mergeCell ref="AT5:AT8"/>
    <mergeCell ref="AX3:AX4"/>
    <mergeCell ref="AT28:AT32"/>
    <mergeCell ref="AW33:AW35"/>
    <mergeCell ref="AT58:AT60"/>
    <mergeCell ref="AU58:AU60"/>
    <mergeCell ref="AV58:AV60"/>
    <mergeCell ref="AW58:AW60"/>
    <mergeCell ref="AT49:AT54"/>
    <mergeCell ref="AU49:AU54"/>
    <mergeCell ref="AV49:AV54"/>
    <mergeCell ref="AW49:AW54"/>
    <mergeCell ref="AT55:AT57"/>
    <mergeCell ref="AU55:AU57"/>
  </mergeCells>
  <hyperlinks>
    <hyperlink ref="AX6" r:id="rId1"/>
    <hyperlink ref="AY6" r:id="rId2" display="Entró en marcha el Modelo de acompañamiento situado y a corte 30 de septiembre de 2.018 se intervinieron 99 Unidades de Servicio de hogares infantiles y CDI. Anexo listado."/>
  </hyperlinks>
  <pageMargins left="0.7" right="0.7" top="0.75" bottom="0.75" header="0.3" footer="0.3"/>
  <pageSetup paperSize="9" orientation="portrait" r:id="rId3"/>
  <ignoredErrors>
    <ignoredError sqref="AE19 AE59 AE6 V5:V6 V8 V13:V14 V16:V17 V19:V21 V28:V32 V36 V38:V39 V41:V42 V45:V46 V49 V52 V54 V56:V57 V60 V62:V63 V65:V67" formulaRange="1"/>
    <ignoredError sqref="AE54 AE63 V15:W15 V18 V22 V40 V43 V47 V7:W7 W9 W1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0"/>
  <sheetViews>
    <sheetView topLeftCell="A25" workbookViewId="0">
      <selection activeCell="E42" sqref="E42"/>
    </sheetView>
  </sheetViews>
  <sheetFormatPr baseColWidth="10" defaultRowHeight="15" x14ac:dyDescent="0.25"/>
  <cols>
    <col min="3" max="3" width="34.7109375" bestFit="1" customWidth="1"/>
  </cols>
  <sheetData>
    <row r="2" spans="2:3" x14ac:dyDescent="0.25">
      <c r="B2" s="66">
        <v>1</v>
      </c>
      <c r="C2" s="67" t="s">
        <v>371</v>
      </c>
    </row>
    <row r="3" spans="2:3" x14ac:dyDescent="0.25">
      <c r="B3" s="66">
        <v>2</v>
      </c>
      <c r="C3" s="67" t="s">
        <v>372</v>
      </c>
    </row>
    <row r="4" spans="2:3" x14ac:dyDescent="0.25">
      <c r="B4" s="66">
        <v>3</v>
      </c>
      <c r="C4" s="67" t="s">
        <v>373</v>
      </c>
    </row>
    <row r="5" spans="2:3" x14ac:dyDescent="0.25">
      <c r="B5" s="66">
        <v>4</v>
      </c>
      <c r="C5" s="67" t="s">
        <v>374</v>
      </c>
    </row>
    <row r="6" spans="2:3" x14ac:dyDescent="0.25">
      <c r="B6" s="66">
        <v>5</v>
      </c>
      <c r="C6" s="67" t="s">
        <v>375</v>
      </c>
    </row>
    <row r="7" spans="2:3" x14ac:dyDescent="0.25">
      <c r="B7" s="66">
        <v>6</v>
      </c>
      <c r="C7" s="67" t="s">
        <v>376</v>
      </c>
    </row>
    <row r="8" spans="2:3" x14ac:dyDescent="0.25">
      <c r="B8" s="66">
        <v>7</v>
      </c>
      <c r="C8" s="67" t="s">
        <v>377</v>
      </c>
    </row>
    <row r="9" spans="2:3" x14ac:dyDescent="0.25">
      <c r="B9" s="66">
        <v>8</v>
      </c>
      <c r="C9" s="67" t="s">
        <v>378</v>
      </c>
    </row>
    <row r="10" spans="2:3" x14ac:dyDescent="0.25">
      <c r="B10" s="66">
        <v>9</v>
      </c>
      <c r="C10" s="67" t="s">
        <v>379</v>
      </c>
    </row>
    <row r="11" spans="2:3" x14ac:dyDescent="0.25">
      <c r="B11" s="66">
        <v>10</v>
      </c>
      <c r="C11" s="67" t="s">
        <v>380</v>
      </c>
    </row>
    <row r="12" spans="2:3" x14ac:dyDescent="0.25">
      <c r="B12" s="66">
        <v>11</v>
      </c>
      <c r="C12" s="67" t="s">
        <v>381</v>
      </c>
    </row>
    <row r="13" spans="2:3" x14ac:dyDescent="0.25">
      <c r="B13" s="66">
        <v>12</v>
      </c>
      <c r="C13" s="67" t="s">
        <v>382</v>
      </c>
    </row>
    <row r="14" spans="2:3" x14ac:dyDescent="0.25">
      <c r="B14" s="66">
        <v>13</v>
      </c>
      <c r="C14" s="67" t="s">
        <v>383</v>
      </c>
    </row>
    <row r="15" spans="2:3" x14ac:dyDescent="0.25">
      <c r="B15" s="66">
        <v>14</v>
      </c>
      <c r="C15" s="67" t="s">
        <v>384</v>
      </c>
    </row>
    <row r="16" spans="2:3" x14ac:dyDescent="0.25">
      <c r="B16" s="66">
        <v>15</v>
      </c>
      <c r="C16" s="67" t="s">
        <v>385</v>
      </c>
    </row>
    <row r="17" spans="2:3" x14ac:dyDescent="0.25">
      <c r="B17" s="66">
        <v>16</v>
      </c>
      <c r="C17" s="67" t="s">
        <v>386</v>
      </c>
    </row>
    <row r="18" spans="2:3" x14ac:dyDescent="0.25">
      <c r="B18" s="66">
        <v>17</v>
      </c>
      <c r="C18" s="67" t="s">
        <v>387</v>
      </c>
    </row>
    <row r="19" spans="2:3" x14ac:dyDescent="0.25">
      <c r="B19" s="66">
        <v>18</v>
      </c>
      <c r="C19" s="67" t="s">
        <v>388</v>
      </c>
    </row>
    <row r="20" spans="2:3" x14ac:dyDescent="0.25">
      <c r="B20" s="66">
        <v>19</v>
      </c>
      <c r="C20" s="67" t="s">
        <v>389</v>
      </c>
    </row>
    <row r="21" spans="2:3" x14ac:dyDescent="0.25">
      <c r="B21" s="66">
        <v>20</v>
      </c>
      <c r="C21" s="67" t="s">
        <v>390</v>
      </c>
    </row>
    <row r="22" spans="2:3" x14ac:dyDescent="0.25">
      <c r="B22" s="66">
        <v>21</v>
      </c>
      <c r="C22" s="67" t="s">
        <v>391</v>
      </c>
    </row>
    <row r="23" spans="2:3" x14ac:dyDescent="0.25">
      <c r="B23" s="66">
        <v>22</v>
      </c>
      <c r="C23" s="67" t="s">
        <v>392</v>
      </c>
    </row>
    <row r="24" spans="2:3" x14ac:dyDescent="0.25">
      <c r="B24" s="66">
        <v>23</v>
      </c>
      <c r="C24" s="67" t="s">
        <v>393</v>
      </c>
    </row>
    <row r="25" spans="2:3" x14ac:dyDescent="0.25">
      <c r="B25" s="66">
        <v>24</v>
      </c>
      <c r="C25" s="67" t="s">
        <v>394</v>
      </c>
    </row>
    <row r="26" spans="2:3" x14ac:dyDescent="0.25">
      <c r="B26" s="66">
        <v>25</v>
      </c>
      <c r="C26" s="67" t="s">
        <v>395</v>
      </c>
    </row>
    <row r="27" spans="2:3" x14ac:dyDescent="0.25">
      <c r="B27" s="66">
        <v>26</v>
      </c>
      <c r="C27" s="67" t="s">
        <v>396</v>
      </c>
    </row>
    <row r="28" spans="2:3" x14ac:dyDescent="0.25">
      <c r="B28" s="66">
        <v>27</v>
      </c>
      <c r="C28" s="67" t="s">
        <v>397</v>
      </c>
    </row>
    <row r="29" spans="2:3" x14ac:dyDescent="0.25">
      <c r="B29" s="66">
        <v>28</v>
      </c>
      <c r="C29" s="67" t="s">
        <v>398</v>
      </c>
    </row>
    <row r="30" spans="2:3" x14ac:dyDescent="0.25">
      <c r="B30" s="66">
        <v>29</v>
      </c>
      <c r="C30" s="67" t="s">
        <v>399</v>
      </c>
    </row>
    <row r="31" spans="2:3" x14ac:dyDescent="0.25">
      <c r="B31" s="66">
        <v>30</v>
      </c>
      <c r="C31" s="67" t="s">
        <v>400</v>
      </c>
    </row>
    <row r="32" spans="2:3" x14ac:dyDescent="0.25">
      <c r="B32" s="66">
        <v>31</v>
      </c>
      <c r="C32" s="67" t="s">
        <v>401</v>
      </c>
    </row>
    <row r="33" spans="2:3" x14ac:dyDescent="0.25">
      <c r="B33" s="66">
        <v>32</v>
      </c>
      <c r="C33" s="67" t="s">
        <v>402</v>
      </c>
    </row>
    <row r="34" spans="2:3" x14ac:dyDescent="0.25">
      <c r="B34" s="66">
        <v>33</v>
      </c>
      <c r="C34" s="67" t="s">
        <v>403</v>
      </c>
    </row>
    <row r="35" spans="2:3" x14ac:dyDescent="0.25">
      <c r="B35" s="66">
        <v>34</v>
      </c>
      <c r="C35" s="67" t="s">
        <v>404</v>
      </c>
    </row>
    <row r="36" spans="2:3" x14ac:dyDescent="0.25">
      <c r="B36" s="66">
        <v>35</v>
      </c>
      <c r="C36" s="67" t="s">
        <v>405</v>
      </c>
    </row>
    <row r="37" spans="2:3" x14ac:dyDescent="0.25">
      <c r="B37" s="66">
        <v>36</v>
      </c>
      <c r="C37" s="67" t="s">
        <v>406</v>
      </c>
    </row>
    <row r="38" spans="2:3" x14ac:dyDescent="0.25">
      <c r="B38" s="66">
        <v>37</v>
      </c>
      <c r="C38" s="67" t="s">
        <v>407</v>
      </c>
    </row>
    <row r="39" spans="2:3" x14ac:dyDescent="0.25">
      <c r="B39" s="66">
        <v>38</v>
      </c>
      <c r="C39" s="67" t="s">
        <v>408</v>
      </c>
    </row>
    <row r="40" spans="2:3" x14ac:dyDescent="0.25">
      <c r="B40" s="66">
        <v>39</v>
      </c>
      <c r="C40" s="67" t="s">
        <v>409</v>
      </c>
    </row>
  </sheetData>
  <dataConsolid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31 DE DICIEMBRE 18 </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 Hong</dc:creator>
  <cp:lastModifiedBy>ester  garcia turizo</cp:lastModifiedBy>
  <cp:lastPrinted>2018-09-19T15:12:22Z</cp:lastPrinted>
  <dcterms:created xsi:type="dcterms:W3CDTF">2018-02-21T16:05:32Z</dcterms:created>
  <dcterms:modified xsi:type="dcterms:W3CDTF">2019-01-31T16:53:35Z</dcterms:modified>
</cp:coreProperties>
</file>