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arcia.CARTAGENA\Desktop\Nueva carpeta (2)\"/>
    </mc:Choice>
  </mc:AlternateContent>
  <bookViews>
    <workbookView xWindow="0" yWindow="0" windowWidth="20490" windowHeight="7155"/>
  </bookViews>
  <sheets>
    <sheet name="FORMATO PLAN ACCION"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32" i="1" l="1"/>
  <c r="Y29" i="1"/>
  <c r="Y25" i="1"/>
  <c r="Y22" i="1"/>
  <c r="Y20" i="1"/>
  <c r="Y18" i="1"/>
  <c r="Y15" i="1"/>
  <c r="Y13" i="1"/>
  <c r="Y10" i="1"/>
  <c r="Y8" i="1"/>
  <c r="Y5" i="1"/>
  <c r="X7" i="1"/>
  <c r="X8" i="1"/>
  <c r="X11" i="1"/>
  <c r="X15" i="1"/>
  <c r="X16" i="1"/>
  <c r="X17" i="1"/>
  <c r="X18" i="1"/>
  <c r="X19" i="1"/>
  <c r="X20" i="1"/>
  <c r="X22" i="1"/>
  <c r="X23" i="1"/>
  <c r="X25" i="1"/>
  <c r="X26" i="1"/>
  <c r="X28" i="1"/>
  <c r="X29" i="1"/>
  <c r="X5" i="1"/>
  <c r="AL32" i="1" l="1"/>
  <c r="AW32" i="1"/>
  <c r="AV32" i="1"/>
  <c r="AU32" i="1"/>
  <c r="AW29" i="1"/>
  <c r="AW25" i="1"/>
  <c r="AW22" i="1"/>
  <c r="AW20" i="1"/>
  <c r="AW18" i="1"/>
  <c r="AW15" i="1"/>
  <c r="AW13" i="1"/>
  <c r="AW10" i="1"/>
  <c r="AW8" i="1"/>
  <c r="AW5" i="1"/>
  <c r="AJ16" i="1" l="1"/>
  <c r="AE16" i="1"/>
  <c r="AK10" i="1"/>
  <c r="BE16" i="1" l="1"/>
  <c r="AI5" i="1" l="1"/>
  <c r="AE5" i="1"/>
  <c r="AJ5" i="1" s="1"/>
  <c r="V5" i="1"/>
  <c r="AH49" i="1" l="1"/>
  <c r="AI8" i="1" l="1"/>
  <c r="AI9" i="1"/>
  <c r="AI11" i="1"/>
  <c r="AI13" i="1"/>
  <c r="AI15" i="1"/>
  <c r="AI16" i="1"/>
  <c r="AI17" i="1"/>
  <c r="AI18" i="1"/>
  <c r="AI20" i="1"/>
  <c r="AI23" i="1"/>
  <c r="AI24" i="1"/>
  <c r="AI26" i="1"/>
  <c r="AI29" i="1"/>
  <c r="M5" i="1"/>
  <c r="W5" i="1" s="1"/>
  <c r="M6" i="1"/>
  <c r="W6" i="1" s="1"/>
  <c r="M7" i="1"/>
  <c r="W7" i="1" s="1"/>
  <c r="M8" i="1"/>
  <c r="W8" i="1" s="1"/>
  <c r="M9" i="1"/>
  <c r="W9" i="1" s="1"/>
  <c r="M10" i="1"/>
  <c r="W10" i="1" s="1"/>
  <c r="M11" i="1"/>
  <c r="W11" i="1" s="1"/>
  <c r="M13" i="1"/>
  <c r="W13" i="1" s="1"/>
  <c r="M15" i="1"/>
  <c r="W15" i="1" s="1"/>
  <c r="M16" i="1"/>
  <c r="W16" i="1" s="1"/>
  <c r="M17" i="1"/>
  <c r="W17" i="1" s="1"/>
  <c r="M18" i="1"/>
  <c r="W18" i="1" s="1"/>
  <c r="M19" i="1"/>
  <c r="W19" i="1" s="1"/>
  <c r="M20" i="1"/>
  <c r="W20" i="1" s="1"/>
  <c r="M21" i="1"/>
  <c r="W21" i="1" s="1"/>
  <c r="M22" i="1"/>
  <c r="W22" i="1" s="1"/>
  <c r="M23" i="1"/>
  <c r="W23" i="1" s="1"/>
  <c r="M24" i="1"/>
  <c r="W24" i="1" s="1"/>
  <c r="W25" i="1"/>
  <c r="M26" i="1"/>
  <c r="W26" i="1" s="1"/>
  <c r="M27" i="1"/>
  <c r="W27" i="1" s="1"/>
  <c r="W28" i="1"/>
  <c r="W29" i="1"/>
  <c r="V6" i="1"/>
  <c r="V7" i="1"/>
  <c r="V8" i="1"/>
  <c r="V9" i="1"/>
  <c r="V10" i="1"/>
  <c r="V11" i="1"/>
  <c r="V13" i="1"/>
  <c r="V15" i="1"/>
  <c r="V16" i="1"/>
  <c r="V17" i="1"/>
  <c r="V18" i="1"/>
  <c r="V19" i="1"/>
  <c r="V20" i="1"/>
  <c r="V21" i="1"/>
  <c r="V22" i="1"/>
  <c r="V23" i="1"/>
  <c r="V24" i="1"/>
  <c r="V25" i="1"/>
  <c r="V26" i="1"/>
  <c r="V27" i="1"/>
  <c r="V28" i="1"/>
  <c r="V29" i="1"/>
  <c r="AG27" i="1"/>
  <c r="AG26" i="1"/>
  <c r="AG24" i="1"/>
  <c r="AG23" i="1"/>
  <c r="AG22" i="1"/>
  <c r="AG21" i="1"/>
  <c r="AG20" i="1"/>
  <c r="AG19" i="1"/>
  <c r="AG18" i="1"/>
  <c r="AG17" i="1"/>
  <c r="AG16" i="1"/>
  <c r="AG15" i="1"/>
  <c r="AG13" i="1"/>
  <c r="AG11" i="1"/>
  <c r="AG10" i="1"/>
  <c r="AG9" i="1"/>
  <c r="AG8" i="1"/>
  <c r="AG7" i="1"/>
  <c r="AG6" i="1"/>
  <c r="AG5" i="1"/>
  <c r="AE6" i="1"/>
  <c r="AE7" i="1"/>
  <c r="AE8" i="1"/>
  <c r="AJ8" i="1" s="1"/>
  <c r="AK8" i="1" s="1"/>
  <c r="AE9" i="1"/>
  <c r="AE10" i="1"/>
  <c r="AE11" i="1"/>
  <c r="AE13" i="1"/>
  <c r="AE15" i="1"/>
  <c r="AJ15" i="1" s="1"/>
  <c r="AE17" i="1"/>
  <c r="AJ17" i="1" s="1"/>
  <c r="AE18" i="1"/>
  <c r="AE19" i="1"/>
  <c r="AE20" i="1"/>
  <c r="AJ20" i="1" s="1"/>
  <c r="AE21" i="1"/>
  <c r="AE22" i="1"/>
  <c r="AJ22" i="1" s="1"/>
  <c r="AE23" i="1"/>
  <c r="AE24" i="1"/>
  <c r="AE25" i="1"/>
  <c r="AJ25" i="1" s="1"/>
  <c r="AE26" i="1"/>
  <c r="AE27" i="1"/>
  <c r="AE28" i="1"/>
  <c r="AJ28" i="1" s="1"/>
  <c r="AE29" i="1"/>
  <c r="AJ29" i="1" s="1"/>
  <c r="AJ26" i="1" l="1"/>
  <c r="AK25" i="1" s="1"/>
  <c r="AJ18" i="1"/>
  <c r="AK18" i="1" s="1"/>
  <c r="AK13" i="1"/>
  <c r="AK29" i="1"/>
  <c r="AK20" i="1"/>
  <c r="AK22" i="1"/>
  <c r="AK5" i="1"/>
  <c r="AK15" i="1"/>
  <c r="AL5" i="1" l="1"/>
</calcChain>
</file>

<file path=xl/comments1.xml><?xml version="1.0" encoding="utf-8"?>
<comments xmlns="http://schemas.openxmlformats.org/spreadsheetml/2006/main">
  <authors>
    <author>luz marlene andrade hong</author>
    <author>Luz Marlene Andrade Hong</author>
  </authors>
  <commentList>
    <comment ref="V3" authorId="0" shapeId="0">
      <text>
        <r>
          <rPr>
            <b/>
            <sz val="9"/>
            <color indexed="81"/>
            <rFont val="Tahoma"/>
            <family val="2"/>
          </rPr>
          <t>luz marlene andrade hong:</t>
        </r>
        <r>
          <rPr>
            <sz val="9"/>
            <color indexed="81"/>
            <rFont val="Tahoma"/>
            <family val="2"/>
          </rPr>
          <t xml:space="preserve">
</t>
        </r>
        <r>
          <rPr>
            <sz val="11"/>
            <color indexed="81"/>
            <rFont val="Tahoma"/>
            <family val="2"/>
          </rPr>
          <t>DIVIDIR EL REPORTE DEL TRIMESTRE ENTRE EL PLAN INDICATIVO DE LA VIGENCIA Y ASÍ POR CADA TRIMESTRE REPORTADO</t>
        </r>
        <r>
          <rPr>
            <sz val="9"/>
            <color indexed="81"/>
            <rFont val="Tahoma"/>
            <family val="2"/>
          </rPr>
          <t xml:space="preserve">
</t>
        </r>
      </text>
    </comment>
    <comment ref="AI10" authorId="1" shapeId="0">
      <text>
        <r>
          <rPr>
            <b/>
            <sz val="9"/>
            <color indexed="81"/>
            <rFont val="Tahoma"/>
            <family val="2"/>
          </rPr>
          <t xml:space="preserve">Luz Marlene Andrade Hong:
SOLICITAR QUE SE COLOQUE 0 PORQUE LA EJECUCIÓN ESTÁ PASADA EN 528
</t>
        </r>
      </text>
    </comment>
  </commentList>
</comments>
</file>

<file path=xl/sharedStrings.xml><?xml version="1.0" encoding="utf-8"?>
<sst xmlns="http://schemas.openxmlformats.org/spreadsheetml/2006/main" count="349" uniqueCount="232">
  <si>
    <t xml:space="preserve"> (D) MONTO EJECUTADO</t>
  </si>
  <si>
    <t>( C ) MONTO</t>
  </si>
  <si>
    <t>( B) FUENTE</t>
  </si>
  <si>
    <t>( A ) RUBRO PRESUPUESTAL</t>
  </si>
  <si>
    <t>(A) NOMBRE</t>
  </si>
  <si>
    <t>(15) RECURSOS</t>
  </si>
  <si>
    <t>( 14) RESPONSABLE</t>
  </si>
  <si>
    <t>( 13) CRONOGRAMA PROGRAMADO</t>
  </si>
  <si>
    <t>(12) INDICADOR</t>
  </si>
  <si>
    <t>(9) PROYECTO</t>
  </si>
  <si>
    <t>META PRODUCTO 2019 SEGÚN PLAN INDICATIVO</t>
  </si>
  <si>
    <t>META PRODUCTO 2018 SEGÚN PLAN INDICATIVO</t>
  </si>
  <si>
    <t>META PRODUCTO 2017 SEGÚN PLAN INDICATIVO</t>
  </si>
  <si>
    <t>META PRODUCTO 2016 SEGÚN PLAN INDICATIVO</t>
  </si>
  <si>
    <t>(7) META PRODUCTO PLAN DE DESARROLLO A 2019</t>
  </si>
  <si>
    <t>(6) SUBPROGRAMA</t>
  </si>
  <si>
    <t>(5) META RESULTADO PLAN DE DESARROLLO</t>
  </si>
  <si>
    <t>(4) PROGRAMA</t>
  </si>
  <si>
    <t>(3) LINEA ESTRATEGICA</t>
  </si>
  <si>
    <t>(2) EJE ESTRATEGICO</t>
  </si>
  <si>
    <t>(1) OBJETIVO</t>
  </si>
  <si>
    <t>(16) OBSERVACIONES A MARZO</t>
  </si>
  <si>
    <t>(16) OBSERVACIONES A JUNIO</t>
  </si>
  <si>
    <t>(16) OBSERVACIONES A SEPTIEMBRE</t>
  </si>
  <si>
    <t>(16) OBSERVACIONES A DICIEMBRE</t>
  </si>
  <si>
    <t>SUPERAR LA DESIGUALDAD</t>
  </si>
  <si>
    <t>CARTAGENA INCLUYENTE</t>
  </si>
  <si>
    <t>SUPERACION DE LA POBREZA EXTREMA Y LA DESIGUALDAD</t>
  </si>
  <si>
    <t>Aumentar el porcentaje de hogares acompañados en pobreza extrema</t>
  </si>
  <si>
    <t>IDENTIFICACIÓN PARA LA SUPERACION DE LA POBREZA Y DESIGUALDAD</t>
  </si>
  <si>
    <t>SALUD PARA LA SUPERACIÓN DE LA POBREZA Y LA DESIGUALDAD</t>
  </si>
  <si>
    <t>EDUCACIÓN PARA LA SUPERACIÓN DE POBREZA Y DESIGUALDAD</t>
  </si>
  <si>
    <t>HABITABILIDAD PARA LA SUPERACIÓN DE POBREZA Y DESIGUALDAD</t>
  </si>
  <si>
    <t>INGRESO Y TRABAJO PARA LA SUPERACIÓN DE LA POBREZA Y DESIGUALDAD</t>
  </si>
  <si>
    <t>BANCARIZACIÓN Y AHORRO</t>
  </si>
  <si>
    <t>ACCESO A LA JUSTICIA PARA LA SUPERACIÓN DE POBREZA Y DESIGUALDAD</t>
  </si>
  <si>
    <t>NUTRICIÓN Y SEGURIDAD ALIMENTARIA PARA LA SUPERACIÓN DE LA POBREZA Y DESIGUALDAD</t>
  </si>
  <si>
    <t>FORTALECIMIENTO INSTITUCIONAL PARA LA SUPERACIÓN DE LA POBREZA Y DESIGUALDAD</t>
  </si>
  <si>
    <t>Identificar a 18431 personas en pobreza extrema en el area urbana</t>
  </si>
  <si>
    <t>Identficar a 2000 personas en pobreza extrema en el area rural</t>
  </si>
  <si>
    <t>Llevar a cabo 5 jornadas de identificacion con registraduria nacional</t>
  </si>
  <si>
    <t>11520 de pobreza accedan al SGSS a través del DADIS</t>
  </si>
  <si>
    <t xml:space="preserve">Formar a 2000 adolescentes en pobreza extrema en promocion de la salud sexual y prevencion de embarazos </t>
  </si>
  <si>
    <t xml:space="preserve">Vincular 6412 de pobreza extrema a la oferta de servicios educativos de formacion pertinente </t>
  </si>
  <si>
    <t>5140 niños, niñas, adolescentes , y adultos de pobreza extrema accedan a los diferentes niveles del sistema educativo</t>
  </si>
  <si>
    <t>1704  Personas en pobreza extrema certificadas  en competencias laborales e insertadas en el mercado laboral</t>
  </si>
  <si>
    <t xml:space="preserve">Crear 2556 unidades productivas a traves de proceso de emprendimiento </t>
  </si>
  <si>
    <t xml:space="preserve">Fortalecidas tecnica y financiera 4261 unidades productivas  a traves del empresarismo </t>
  </si>
  <si>
    <t xml:space="preserve">
13374 personas  en pobreza extrema acceden al sistema financiero</t>
  </si>
  <si>
    <t>efectuar 8 ferias microfinancieras</t>
  </si>
  <si>
    <t xml:space="preserve">Formar 9231 familias en pobreza extrema en mecanismos de resolucion de conflictos </t>
  </si>
  <si>
    <t xml:space="preserve">690 familias en pobreza extrema acceden a los servicios de justicia formal y no formal para la solucion de sus conflictos </t>
  </si>
  <si>
    <t>Formar 10577 familias de pobreza extrema en mecanismos saludables de convivencia y expresiones de afecto</t>
  </si>
  <si>
    <t xml:space="preserve">Formar 3200 adolescentes y jovenes en pobreza extrema en prevencion de consumo de alcohol y la drogadiccion </t>
  </si>
  <si>
    <t>Atender 1219 familias victimas del postconflicto</t>
  </si>
  <si>
    <t>Implementar 3 comedores comunitarios</t>
  </si>
  <si>
    <t>9377 personas en pobreza extrema acceden a los programas de nutricion a traves de los comedores comunitarios</t>
  </si>
  <si>
    <t>Identificar y caracterizar 2494 niñas y niños mayores de  seis (6) meses y menores de cinco (5) en pobreza extrema en el programa de nutricion</t>
  </si>
  <si>
    <t>Vincular 1200 familias en pobreza extrema a la politica publica distrital de seguridad alimentaria y nutricion "tintililillo"</t>
  </si>
  <si>
    <t>Crear e implementar 1 base de datos</t>
  </si>
  <si>
    <t>IDENTIFICACION PARA LA SUPERACION DE LA POBREZA Y DESIGUALDAD</t>
  </si>
  <si>
    <t>SALUD “PROMOCION Y PREVENCION DE LA SALUD”</t>
  </si>
  <si>
    <t>SUBPROGRAMA DE EDUCACION</t>
  </si>
  <si>
    <t>HABITABILIDAD PARA LA SUPERACION DE POBREZA Y DESIGUALDAD</t>
  </si>
  <si>
    <t>INGRESO Y TRABAJO PARA LA SUPERACION DE LA POBREZA Y DESIGUALDAD</t>
  </si>
  <si>
    <t>BANCARIZACION Y AHORRO</t>
  </si>
  <si>
    <t>FORMACION EN MATERIA DE DERECHOS Y DEBERES CIUDADANOS, MECANISMOS ALTERNATIVOS DE RESOLUCION DE CONFLICTOS  Y ACCESO A LA JUSTICIA.</t>
  </si>
  <si>
    <t xml:space="preserve">DINAMICA FAMILIAR </t>
  </si>
  <si>
    <t>NUTRICION Y SEGURIDAD ALIMENTARIA PARA LA SUPERACION DE LA POBREZA Y DESIGUALDAD</t>
  </si>
  <si>
    <t>FORTALECIMIENTO INSTITUCIONAL PARA LA SUPERACION DE LA POBREZA Y DESIGUALDAD</t>
  </si>
  <si>
    <t>Número de personas identificadas Urbana</t>
  </si>
  <si>
    <t>Número de personas identificadas Rural</t>
  </si>
  <si>
    <t>Número de personas en pobreza extrema que acceden al SGSS</t>
  </si>
  <si>
    <t>Número de adolescentes formados en Promoción de la Salud Sexual y Prevención de Embarazos.</t>
  </si>
  <si>
    <t>Personas beneficiadas en las jornadas de ofertas de servicios educativos de formación pertinente</t>
  </si>
  <si>
    <t>Número niños, niñas, adolescentes ,jovenes  y adultos que accedan a los diferentes niveles del sistema educativo</t>
  </si>
  <si>
    <t>Número de viviendas de familias en pobreza extrema invervenidad en habitabilidas con calidad</t>
  </si>
  <si>
    <t>Número de personas en pobreza extrema certificadas  en competencias laborales e insertadas en el mercado laboral</t>
  </si>
  <si>
    <t xml:space="preserve">Número de unidades productivas creadas a traves de proceso de emprendimiento </t>
  </si>
  <si>
    <t xml:space="preserve">Número unidades productivas fortalecidas tecnica y financiera a traves del empresarismo </t>
  </si>
  <si>
    <t xml:space="preserve">Numero de personas en pobreza  que accedan al sistema financiero </t>
  </si>
  <si>
    <t>Ferias microfinancieras efectuadas</t>
  </si>
  <si>
    <t>Numero de familias en situacion de pobreza extrema o desplazamiento formadas en mecanismo de resolucion de conflictos</t>
  </si>
  <si>
    <t>Numero de familias en situacion de pobreza extrema o desplazamiento han accedido a los servicios de justicia formal y no formal para la solucion de sus conflictos</t>
  </si>
  <si>
    <t>Número de familias en pobreza extrema que se han formado en mecanismos saludables de convivencia y expresiones de afecto</t>
  </si>
  <si>
    <t>Número de adolescente y jóvenes en pobreza extrema formados en prevención de consumo de alcohol y la drogadicción</t>
  </si>
  <si>
    <t>Número de familias victimas del postconflicto atendidas</t>
  </si>
  <si>
    <t>comedores comunitarios implementados</t>
  </si>
  <si>
    <t>Numero de personas en pobreza extrema que acceden a los programas de nutricion a traves de los comedores comunitarios</t>
  </si>
  <si>
    <t xml:space="preserve">Numero de niñas y niños mayores de seis (6) meses y menores de cinco (5) en pobreza extrema identificados y caracterizados nutricionalmente para programar su atencion </t>
  </si>
  <si>
    <t>Número de familias vinculadas a la  Política Pública Distrital de Seguridad Alimentaria y Nutrición "Tintirilillo"</t>
  </si>
  <si>
    <t xml:space="preserve">base de datos creada e implementada </t>
  </si>
  <si>
    <t>ENERO - DICIEMBRE</t>
  </si>
  <si>
    <t xml:space="preserve">ICDL </t>
  </si>
  <si>
    <t>0</t>
  </si>
  <si>
    <t>NA</t>
  </si>
  <si>
    <t xml:space="preserve">02-001-06-20-01-05-01-11  </t>
  </si>
  <si>
    <t>El indicador no muestra avences por no contar con los recursos para su ajecuccion. Ademas la Registraduria Nacional por ser un año electoral no autorizo campañas en los barrios para el desarrollo del Subprograma.</t>
  </si>
  <si>
    <t>No hay avances en este indicador por no contar con los recursos para su ejecuccion.</t>
  </si>
  <si>
    <t>No hay avances en este indicador por la falta de recursos y porque el DADIS no ha iniciado las campañas con las diferentes entidades de Salud.</t>
  </si>
  <si>
    <t>Atraves de la Gestiones adelantadas con la RED DE APOYO AL EMPRENDEDOR conformada por ACOPI, SENA, LA GOBERNACION DE BOLIAR, PES. Se esta en proceso de fortalecimiento de la Red y asi poder vincular a unidades productivas para que sean fortalecidas.</t>
  </si>
  <si>
    <t>Atraves de la Gestiones adelantadas con la RED DE APOYO AL EMPRENDEDOR conformada por ACOPI, SENA, LA GOBERNACION DE BOLIAR, PES. Se va a fortalecer esta linea con las entidades financieras para que las personas puedan acceder a creditosblandos y comodas cuotas.</t>
  </si>
  <si>
    <t>Con esta misma alianza se planean hacer actividades de ferias microfinancieras.</t>
  </si>
  <si>
    <t>En las diferentes jornadas desarrolladas por Secretaria del Interior en justicia cercana al ciudadano se han realizado 4 jornadas en los Barrios Boston, Santa Rita, Mirador de la Bahia y Olaya Herrera calle de la Arrocera, se han atendido 680 personas donde se les ha brindado orientacion en este tema.</t>
  </si>
  <si>
    <t>En las jornadas en los Barrios Boston, Santa Rita, Mirador de la Bahia y Olaya Herrera calle de la Arrocera, se le brindo los servicios por lo tanto este indicador mostro un avance.</t>
  </si>
  <si>
    <t>En las jornadas en los Barrios Boston, Santa Rita, Mirador de la Bahia y Olaya Herrera calle de la Arrocera, se le brindo los servicios.</t>
  </si>
  <si>
    <t>En alianza con entidades del sector privado como FUNDASABER, se esta realizando unas intervencciones para atender familias victimas del postconflicto .</t>
  </si>
  <si>
    <t>En espera de la ejecuccion de los recursos para contratar la elaboracion de la base de datos.</t>
  </si>
  <si>
    <t>En espera de la firma del Otro si del Convenio con FINDETER para la construccion del parque lineal para beneficiar 1500 familias con la contrucccion de este.</t>
  </si>
  <si>
    <t>Con la implementacion del comedor comunitario del año 2017, se han beneficiado un gran numero de personas.</t>
  </si>
  <si>
    <t>No se ha iniciado los procesos de caracterizacion nutriccional q lidera el DADIS. En el mes de abril se iniciara el proceso con la FUNDACION ALIMENTAR, donde el PES acompaña este poceso.</t>
  </si>
  <si>
    <t>Se ha pospueso en 2 oportunidades el comité de la Politica Publica de Seguridad Alimentaria.</t>
  </si>
  <si>
    <t>Este indicador se va a desarrollar con la gestion hecha con Prosperidad Social en la linea MI NEGOCIO, donde para el 2018 tenemos un cupo de 250 cupos para creacion de nuevos emprendimientos. Se esta coordinando con esta entidad el proceso de escogencia de los beneficiarios.</t>
  </si>
  <si>
    <t xml:space="preserve">Número de jornadas de identificacion </t>
  </si>
  <si>
    <t>Se han beneficiado 430 personas que acceden al comedor ubicado en Olaya Herrera, beneficiando a 15 personas diarias con almuerzos balanceados en enero febrero y marzo de 2018.</t>
  </si>
  <si>
    <t>AVANCE META PROYECTO (PLANEACION UPDD)</t>
  </si>
  <si>
    <t>AVANCE PROYECTO (PLANEACION UPDD)</t>
  </si>
  <si>
    <t>RECURSOS ASIGNADOS SEGÚN PREDIS</t>
  </si>
  <si>
    <t>RECURSOS EJECUTADOS SEGÚN PREDIS</t>
  </si>
  <si>
    <t>EJECUCION PRESUPUESTAL SEGÚN PREDIS</t>
  </si>
  <si>
    <t>Intervenir 500 viviendas de familias en pobreza extrema en habitabilidad con calidad</t>
  </si>
  <si>
    <t>DÍNAMICA FAMILIAR  PARA LA SUPERACIÓN DE LA POBREZA Y DESIGUALDAD</t>
  </si>
  <si>
    <t>LINEA BASE META RESULTADO 2015</t>
  </si>
  <si>
    <t>(5B) REPORTE META RESULTADO EJECUTADA A MARZO31 DE 2018</t>
  </si>
  <si>
    <t>AVANCE META RESULTADO</t>
  </si>
  <si>
    <t>VALOR META PRODUCTO PLAN DE DESARROLLO A 2019</t>
  </si>
  <si>
    <t>LINEA BASE META PRODUCTO 2015</t>
  </si>
  <si>
    <t>AVANCE ACUMULADO 2017 (2016+2017)</t>
  </si>
  <si>
    <t>(8B)REPORTE META PRODUCTO EJECUTADA A JUNIO DE 2018</t>
  </si>
  <si>
    <t>(8B) REPORTE META PRODUCTO EJECUTADA A  SEPTIEMBRE DE 2018</t>
  </si>
  <si>
    <t>(8B) REPORTE META PRODUCTO EJECUTADA A DICIEMBRE DE 2018</t>
  </si>
  <si>
    <t>META PRODUCTO ACUMULADO AL CUATRIENIO</t>
  </si>
  <si>
    <t>(8B) REPORTE META PROYECTO EJECUTADA DE ENERO 1 A MARZO 31 DE 2018</t>
  </si>
  <si>
    <t>(8B) REPORTE META  PROYECTO EJECUTADA DE ABRIL 1 A JUNIO 30 DE 2018</t>
  </si>
  <si>
    <t>(8B) REPORTE META PROYECTO EJECUTADA DE JULIO 1 A  SEPTIEMBRE 30 DE 2018</t>
  </si>
  <si>
    <t>(8B)REPORTE META PROYECTO EJECUTADA DE OCTUBRE 1 A DICIEMBRE 31 DE 2018</t>
  </si>
  <si>
    <t>META PROYECTO ACUMULADO AL AÑO</t>
  </si>
  <si>
    <t>© VALOR A ALCANZAR A DICIEMBRE 31 DE 2018</t>
  </si>
  <si>
    <t>AVANCE TRIMESTRAL META PRODUCTO (resultado año vigente)</t>
  </si>
  <si>
    <r>
      <t xml:space="preserve">En las diferentes jornadas desarrolladas por Secretaria del Interior en justicia cercana al ciudadano se han realizado 4 jornadas en los </t>
    </r>
    <r>
      <rPr>
        <b/>
        <sz val="14"/>
        <color theme="1"/>
        <rFont val="Arial"/>
        <family val="2"/>
      </rPr>
      <t>Barrios Boston, Santa Rita, Mirador de la Bahia y Olaya Herrera calle de la Arrocera,</t>
    </r>
    <r>
      <rPr>
        <sz val="14"/>
        <color theme="1"/>
        <rFont val="Arial"/>
        <family val="2"/>
      </rPr>
      <t xml:space="preserve"> se han atendido 431 personas que apuntan a este indicador. Estamos en espera de la confirmacion por parte de Centro publico de Empleo de Comfenalco para el reporte de cuantas personas fueron vinculadas laboralmente.</t>
    </r>
  </si>
  <si>
    <t>(B) VALOR ALCANZADO A  DIC 2016</t>
  </si>
  <si>
    <t xml:space="preserve">(B) VALOR ALCANZADO A  DIC 2017 </t>
  </si>
  <si>
    <t>7273 (Fuente: DPS, corte 31 diciembre 2015</t>
  </si>
  <si>
    <t>5 (Fuente: PES, corte 31 diciembre 2015</t>
  </si>
  <si>
    <t>N.D</t>
  </si>
  <si>
    <t>2984 (Fuente: D.P.S. corte 31 dic 2015</t>
  </si>
  <si>
    <t>7009 (Fuente: D.P.S. corte 31 dic 2015</t>
  </si>
  <si>
    <t>171 (DPS, corte 31 dic2015</t>
  </si>
  <si>
    <t>4.550 (Fuente: PES corte dic2015)</t>
  </si>
  <si>
    <t>2.792 (Fuente: PES corte dic 2015)</t>
  </si>
  <si>
    <t>12897 (DPS, corte dic 31 2015)</t>
  </si>
  <si>
    <t>N.D.</t>
  </si>
  <si>
    <t>3.601 (Plan de Acción PES, dic 31 de 2015)</t>
  </si>
  <si>
    <t>181 (DPS, corte 31 dic2015)</t>
  </si>
  <si>
    <t>3.387 (adolescentes y jóvenes acompañados por DPS a 2015)</t>
  </si>
  <si>
    <t>S.D.</t>
  </si>
  <si>
    <t>2370 (DPS, población atendida de 0 a 5, corte 2015)</t>
  </si>
  <si>
    <t>ND</t>
  </si>
  <si>
    <t>DEPENDENCIA: PLAN DE EMERGENCIA SOCIAL-PEDRO ROMERO (PES-PR)</t>
  </si>
  <si>
    <t xml:space="preserve">No hay avances en este indicador por no contar con los recursos para su ejecuccion. Presupuesto en Gestion. </t>
  </si>
  <si>
    <t xml:space="preserve">Nos encontramos en recoleccion de los datos y digitacion de los datos en los años 2016 y 2017 para la base de datos. </t>
  </si>
  <si>
    <t>AVANCE PROGRAMA ANUAL (PLANEACION UPDD)</t>
  </si>
  <si>
    <t>JAVIER POSADA MEOLA</t>
  </si>
  <si>
    <r>
      <t xml:space="preserve">Se observa un avance en el indicador de </t>
    </r>
    <r>
      <rPr>
        <b/>
        <sz val="14"/>
        <color theme="1"/>
        <rFont val="Arial"/>
        <family val="2"/>
      </rPr>
      <t>266 Personas Identificadas en el Area Urbana</t>
    </r>
    <r>
      <rPr>
        <sz val="14"/>
        <color theme="1"/>
        <rFont val="Arial"/>
        <family val="2"/>
      </rPr>
      <t xml:space="preserve"> en las que se se realizo en 3 barrios diferentes: </t>
    </r>
    <r>
      <rPr>
        <b/>
        <sz val="14"/>
        <color theme="1"/>
        <rFont val="Arial"/>
        <family val="2"/>
      </rPr>
      <t>Flor de Campo (100), Policarpa (100), 9 de Abril (66)</t>
    </r>
  </si>
  <si>
    <r>
      <t xml:space="preserve">Se observa un avance en el indicador de </t>
    </r>
    <r>
      <rPr>
        <b/>
        <sz val="14"/>
        <color theme="1"/>
        <rFont val="Arial"/>
        <family val="2"/>
      </rPr>
      <t>12 Personas Identificadas en el Area Rural</t>
    </r>
    <r>
      <rPr>
        <sz val="14"/>
        <color theme="1"/>
        <rFont val="Arial"/>
        <family val="2"/>
      </rPr>
      <t xml:space="preserve"> en las que se se realizo en </t>
    </r>
    <r>
      <rPr>
        <b/>
        <sz val="14"/>
        <color theme="1"/>
        <rFont val="Arial"/>
        <family val="2"/>
      </rPr>
      <t>Arroyo Grande y sus Alrededores</t>
    </r>
  </si>
  <si>
    <r>
      <t>Se Realizaron</t>
    </r>
    <r>
      <rPr>
        <b/>
        <sz val="14"/>
        <color theme="1"/>
        <rFont val="Arial"/>
        <family val="2"/>
      </rPr>
      <t xml:space="preserve"> 2 Jornadas de Identificacion: </t>
    </r>
    <r>
      <rPr>
        <sz val="14"/>
        <color theme="1"/>
        <rFont val="Arial"/>
        <family val="2"/>
      </rPr>
      <t xml:space="preserve">
1 en el mes de agosto en los barrios:  </t>
    </r>
    <r>
      <rPr>
        <b/>
        <sz val="14"/>
        <color theme="1"/>
        <rFont val="Arial"/>
        <family val="2"/>
      </rPr>
      <t xml:space="preserve">Arroyo Grande y Flor del Campo
</t>
    </r>
    <r>
      <rPr>
        <sz val="14"/>
        <color theme="1"/>
        <rFont val="Arial"/>
        <family val="2"/>
      </rPr>
      <t xml:space="preserve">y otra en el mes de Septiembre en los barrios: </t>
    </r>
    <r>
      <rPr>
        <b/>
        <sz val="14"/>
        <color theme="1"/>
        <rFont val="Arial"/>
        <family val="2"/>
      </rPr>
      <t>Policarpa y 9 de abril</t>
    </r>
  </si>
  <si>
    <r>
      <t>Se observa un avance de</t>
    </r>
    <r>
      <rPr>
        <b/>
        <sz val="14"/>
        <color theme="1"/>
        <rFont val="Arial"/>
        <family val="2"/>
      </rPr>
      <t xml:space="preserve"> 1263 Personas</t>
    </r>
    <r>
      <rPr>
        <sz val="14"/>
        <color theme="1"/>
        <rFont val="Arial"/>
        <family val="2"/>
      </rPr>
      <t xml:space="preserve"> que han sido beneficiadas de las jornadas de ofertas de los servicios educativos en diferentes jornadas y diferentes aliados tales como:
</t>
    </r>
    <r>
      <rPr>
        <b/>
        <sz val="14"/>
        <color theme="1"/>
        <rFont val="Arial"/>
        <family val="2"/>
      </rPr>
      <t>- ARDEC (151)
- CITUCAR (140)
- UNICOLOMBO (66)
- ESDISEÑOS (66)
- INST. BOLIVARIANO (176)
- MONTE SINAI (172)
- FUND. SOMOS MAS INCLUYENTES (104)
- SUMMIT (114)
- TECNAR (7)
- UNAD (107)</t>
    </r>
  </si>
  <si>
    <r>
      <t>Se observa un avance de</t>
    </r>
    <r>
      <rPr>
        <b/>
        <sz val="14"/>
        <color theme="1"/>
        <rFont val="Arial"/>
        <family val="2"/>
      </rPr>
      <t xml:space="preserve"> 11 Personas</t>
    </r>
    <r>
      <rPr>
        <sz val="14"/>
        <color theme="1"/>
        <rFont val="Arial"/>
        <family val="2"/>
      </rPr>
      <t xml:space="preserve"> que han accedido al sistema educativo con diferentes aliados tales como:</t>
    </r>
    <r>
      <rPr>
        <b/>
        <sz val="14"/>
        <color theme="1"/>
        <rFont val="Arial"/>
        <family val="2"/>
      </rPr>
      <t xml:space="preserve">
- CITUCAR (2)
- INST. BOLIVARIANO (9)</t>
    </r>
  </si>
  <si>
    <r>
      <t xml:space="preserve">Por medio de articulacion con PACARIBE Y URBASER se han realizado jornadas de limpieza en donde se hace una accion con calidad en el  entorno para un mejoramiento de la habitabilidad en donde se han intervenido </t>
    </r>
    <r>
      <rPr>
        <b/>
        <sz val="14"/>
        <color theme="1"/>
        <rFont val="Arial"/>
        <family val="2"/>
      </rPr>
      <t>111 Viviendas.</t>
    </r>
  </si>
  <si>
    <r>
      <t xml:space="preserve">se observa un avance de </t>
    </r>
    <r>
      <rPr>
        <b/>
        <sz val="14"/>
        <color theme="1"/>
        <rFont val="Arial"/>
        <family val="2"/>
      </rPr>
      <t>466 Jovenes  formadas en en prevención de consumo de alcohol y la drogadicción</t>
    </r>
    <r>
      <rPr>
        <sz val="14"/>
        <color theme="1"/>
        <rFont val="Arial"/>
        <family val="2"/>
      </rPr>
      <t>,  en diferentes instituciones educativas de la ciudad de Cartagena, Tales como: San Jose de los campanos, Int e. Pino verde entre otras</t>
    </r>
  </si>
  <si>
    <t xml:space="preserve">En las Diferentes actividades realizadas por el subprograma de dinamica familiar se han atendido a 37 victimas del conflicto armado. </t>
  </si>
  <si>
    <r>
      <t xml:space="preserve">Se han realizado </t>
    </r>
    <r>
      <rPr>
        <b/>
        <sz val="14"/>
        <color theme="1"/>
        <rFont val="Arial"/>
        <family val="2"/>
      </rPr>
      <t>783 Valoraciones Nutricionales a niños mayores de 6 meses y menores de 5 años</t>
    </r>
    <r>
      <rPr>
        <sz val="14"/>
        <color theme="1"/>
        <rFont val="Arial"/>
        <family val="2"/>
      </rPr>
      <t xml:space="preserve">, en las direferentes jornadas realizadas por el Plan de Emergencia Social Pedro Romero en Articulacion con la Funacion Alimentar. </t>
    </r>
  </si>
  <si>
    <t>ES IMPORTANTE ANOTAR PARA ESTE PERIODO DE REPORTE, RESALTAR LA LABOR DE GESTIÓN DE LA DEPENDENCIA PARA ARTICULARSE CON LAS ENTIDADES QUE LE COLABORARON A ALCANZAR LAS METAS A PESAR DE LA SITUACIÓN FINANCIERA DE CADA SUBPROGRAMA QUE NO TENIAN ASIGNACIONES PRESUPUESTALES</t>
  </si>
  <si>
    <r>
      <t xml:space="preserve">Junto con el DADIS se realizo una gran jornadas de afiliacion al SGSS en el se atendieron </t>
    </r>
    <r>
      <rPr>
        <b/>
        <sz val="14"/>
        <color theme="1"/>
        <rFont val="Arial"/>
        <family val="2"/>
      </rPr>
      <t xml:space="preserve">734 afiliaciones </t>
    </r>
    <r>
      <rPr>
        <sz val="14"/>
        <color theme="1"/>
        <rFont val="Arial"/>
        <family val="2"/>
      </rPr>
      <t>con diferentes EPS de la Ciudad de Cartagena, esta actividad se realizó en la</t>
    </r>
    <r>
      <rPr>
        <b/>
        <sz val="14"/>
        <color theme="1"/>
        <rFont val="Arial"/>
        <family val="2"/>
      </rPr>
      <t xml:space="preserve"> Biblioteca distrita</t>
    </r>
    <r>
      <rPr>
        <b/>
        <sz val="14"/>
        <rFont val="Arial"/>
        <family val="2"/>
      </rPr>
      <t xml:space="preserve">l </t>
    </r>
    <r>
      <rPr>
        <sz val="14"/>
        <rFont val="Arial"/>
        <family val="2"/>
      </rPr>
      <t xml:space="preserve">el dia </t>
    </r>
    <r>
      <rPr>
        <b/>
        <sz val="14"/>
        <rFont val="Arial"/>
        <family val="2"/>
      </rPr>
      <t xml:space="preserve">21 de Septiembre de 2018. </t>
    </r>
  </si>
  <si>
    <r>
      <t xml:space="preserve">Se observa un avance en el indicador de </t>
    </r>
    <r>
      <rPr>
        <b/>
        <sz val="14"/>
        <color theme="1"/>
        <rFont val="Arial"/>
        <family val="2"/>
      </rPr>
      <t xml:space="preserve">275 Adolecentes </t>
    </r>
    <r>
      <rPr>
        <sz val="14"/>
        <color theme="1"/>
        <rFont val="Arial"/>
        <family val="2"/>
      </rPr>
      <t>Formados en promocion de la salud sexual y prevencion de embarazos en diferentes jornadas</t>
    </r>
    <r>
      <rPr>
        <sz val="14"/>
        <rFont val="Arial"/>
        <family val="2"/>
      </rPr>
      <t xml:space="preserve"> realizadas en los barrios</t>
    </r>
    <r>
      <rPr>
        <sz val="14"/>
        <color theme="1"/>
        <rFont val="Arial"/>
        <family val="2"/>
      </rPr>
      <t xml:space="preserve">:
</t>
    </r>
    <r>
      <rPr>
        <b/>
        <sz val="14"/>
        <color theme="1"/>
        <rFont val="Arial"/>
        <family val="2"/>
      </rPr>
      <t>- Leticia - Recreo (10)</t>
    </r>
    <r>
      <rPr>
        <sz val="14"/>
        <color theme="1"/>
        <rFont val="Arial"/>
        <family val="2"/>
      </rPr>
      <t xml:space="preserve">
</t>
    </r>
    <r>
      <rPr>
        <b/>
        <sz val="14"/>
        <color theme="1"/>
        <rFont val="Arial"/>
        <family val="2"/>
      </rPr>
      <t>- Nelson Mandela (43)
- San Jose de los Campanos (36)
- Flor del Campo (29)
- Ana Maria Velez (Torices) (67)
- Isla de Leon - Pozon (90)</t>
    </r>
  </si>
  <si>
    <r>
      <t xml:space="preserve">A pesar de que no hay avances en el indicador se han realizado 4 Jornadas de orientacion laboral en donde se han </t>
    </r>
    <r>
      <rPr>
        <b/>
        <sz val="14"/>
        <rFont val="Arial"/>
        <family val="2"/>
      </rPr>
      <t>orientado mas de 650 personas</t>
    </r>
    <r>
      <rPr>
        <sz val="14"/>
        <rFont val="Arial"/>
        <family val="2"/>
      </rPr>
      <t xml:space="preserve"> en Presentacion de hojas de vida, Presentacion de entrevistas y solcializacion de vacantes de la Agencia de Empleo COMFENALCO, adicional a esto se ha dado apoyo par</t>
    </r>
    <r>
      <rPr>
        <b/>
        <sz val="14"/>
        <rFont val="Arial"/>
        <family val="2"/>
      </rPr>
      <t>a registro a la plataforma de empleos comfenalco a mas de 100 personas. 
- Fredonia (298)
- Arroyo Grande (52)
- Flor del Campo (140)
- Portales de Cordialidad (80)</t>
    </r>
  </si>
  <si>
    <r>
      <t>Se realizo</t>
    </r>
    <r>
      <rPr>
        <b/>
        <sz val="14"/>
        <color theme="1"/>
        <rFont val="Arial"/>
        <family val="2"/>
      </rPr>
      <t xml:space="preserve"> 1 feria de microfinanciera en el Barrio La Reina </t>
    </r>
    <r>
      <rPr>
        <sz val="14"/>
        <color theme="1"/>
        <rFont val="Arial"/>
        <family val="2"/>
      </rPr>
      <t xml:space="preserve">Donde Se llevaron mas de 6 entidades financieras  y se atendieron a mas de 200 personas. Para estudio de credito y apertura de cuenta de ahorro. Las entidades que nos acompañaron a la primera Feria de Microfinanciera:
</t>
    </r>
    <r>
      <rPr>
        <b/>
        <sz val="14"/>
        <color theme="1"/>
        <rFont val="Arial"/>
        <family val="2"/>
      </rPr>
      <t>- BEPS-COLPENSIONES (21)
-BANCO MUNDO MUJER (29)
- BANCAMIA (49)
- BANCO W (20)
- RED NACIONAL DE PROTECCIÓN AL CONSUMIDOR  (60)
- INSTITUTO COLOMBO BOLIVARIANOS 
 Y ES DISEÑOS (58)</t>
    </r>
  </si>
  <si>
    <r>
      <t xml:space="preserve">Se observa un avance de 359 personas formadas en mecanismos de resolucion de comflictos en las diferentes actividades realizadas en:
</t>
    </r>
    <r>
      <rPr>
        <b/>
        <sz val="14"/>
        <rFont val="Arial"/>
        <family val="2"/>
      </rPr>
      <t>- Tierra Bomba (15) 
- San Jose De los Campanos (145)
- Nelson Mandela (63)
- Olaya Herrera Sct. Central (23)
- Ciudadela 2000 (113)
- Tierra Bomba (15)</t>
    </r>
  </si>
  <si>
    <r>
      <t xml:space="preserve">Se observa un avance en el indicador de </t>
    </r>
    <r>
      <rPr>
        <b/>
        <sz val="14"/>
        <color theme="1"/>
        <rFont val="Arial"/>
        <family val="2"/>
      </rPr>
      <t>103 Personas que han accedo al sistema financiero</t>
    </r>
    <r>
      <rPr>
        <sz val="14"/>
        <color theme="1"/>
        <rFont val="Arial"/>
        <family val="2"/>
      </rPr>
      <t xml:space="preserve"> en articulacion con diferentes entidades financieras: Bancamia, Mundo Mujer, Banco W,  Bancompartir</t>
    </r>
    <r>
      <rPr>
        <sz val="14"/>
        <rFont val="Arial"/>
        <family val="2"/>
      </rPr>
      <t>, BEPS que es un programa de ahorro de  Colpensiones.</t>
    </r>
  </si>
  <si>
    <r>
      <t xml:space="preserve">Se observa un avance de </t>
    </r>
    <r>
      <rPr>
        <b/>
        <sz val="14"/>
        <color theme="1"/>
        <rFont val="Arial"/>
        <family val="2"/>
      </rPr>
      <t xml:space="preserve">73 Personas que han accedido a los servicios de justicia formal y no formal </t>
    </r>
    <r>
      <rPr>
        <sz val="14"/>
        <color theme="1"/>
        <rFont val="Arial"/>
        <family val="2"/>
      </rPr>
      <t>en donde se ha articulado con direferentes entidades del area juridica tales como:
-</t>
    </r>
    <r>
      <rPr>
        <b/>
        <sz val="14"/>
        <color theme="1"/>
        <rFont val="Arial"/>
        <family val="2"/>
      </rPr>
      <t xml:space="preserve"> Policia de infancia y adolecencia - Asesoria Juridica en Jovenes 
- Comisaria de Familia - Asesoria Juridica  General
- Electricaribe:  Recepcion de PQR
- Aguas de Cartagena - Recepcion de PQR</t>
    </r>
  </si>
  <si>
    <t>En el mes los meses de Julio, Agosto y Septiembre se realizo una actualizacion de la base de datos con la informacion recolectada en las actividades realizadas por los 9 subprogramas del Plan de Emergencia Social Pedro Romero  en los  meses de Julio, Agosto y Septiembre del presente año 2018</t>
  </si>
  <si>
    <r>
      <t xml:space="preserve">Se observa un avance en el indicador de </t>
    </r>
    <r>
      <rPr>
        <b/>
        <sz val="14"/>
        <color theme="1"/>
        <rFont val="Arial"/>
        <family val="2"/>
      </rPr>
      <t>8 Personas Identificadas en el Area Rural</t>
    </r>
    <r>
      <rPr>
        <sz val="14"/>
        <color theme="1"/>
        <rFont val="Arial"/>
        <family val="2"/>
      </rPr>
      <t xml:space="preserve"> en las que se se realizo en  </t>
    </r>
    <r>
      <rPr>
        <b/>
        <sz val="14"/>
        <color theme="1"/>
        <rFont val="Arial"/>
        <family val="2"/>
      </rPr>
      <t>La Boquilla y Bayunca</t>
    </r>
  </si>
  <si>
    <r>
      <t>Se Realizaron</t>
    </r>
    <r>
      <rPr>
        <b/>
        <sz val="14"/>
        <color theme="1"/>
        <rFont val="Arial"/>
        <family val="2"/>
      </rPr>
      <t xml:space="preserve"> 2 Jornadas de Identificacion: </t>
    </r>
    <r>
      <rPr>
        <sz val="14"/>
        <color theme="1"/>
        <rFont val="Arial"/>
        <family val="2"/>
      </rPr>
      <t xml:space="preserve">
1 en el mes de Octubre  en los barrios:  </t>
    </r>
    <r>
      <rPr>
        <b/>
        <sz val="14"/>
        <color theme="1"/>
        <rFont val="Arial"/>
        <family val="2"/>
      </rPr>
      <t xml:space="preserve">Santa Rita, Nelson Mandela y Olaya Herrera Sector Perimetral
</t>
    </r>
    <r>
      <rPr>
        <sz val="14"/>
        <color theme="1"/>
        <rFont val="Arial"/>
        <family val="2"/>
      </rPr>
      <t xml:space="preserve">y otra en el mes de Diciembre </t>
    </r>
    <r>
      <rPr>
        <b/>
        <sz val="14"/>
        <color theme="1"/>
        <rFont val="Arial"/>
        <family val="2"/>
      </rPr>
      <t xml:space="preserve"> En la casa de justicia de Chiquinquira la cual duro 10 dias </t>
    </r>
  </si>
  <si>
    <r>
      <t xml:space="preserve">Junto con el DADIS y diferentes Entidades de salud tales como: </t>
    </r>
    <r>
      <rPr>
        <b/>
        <sz val="14"/>
        <color theme="1"/>
        <rFont val="Arial"/>
        <family val="2"/>
      </rPr>
      <t>Nueva EPS, Coosalud, Cajacopi, Comfamiliar y Mutual Ser</t>
    </r>
    <r>
      <rPr>
        <sz val="14"/>
        <color theme="1"/>
        <rFont val="Arial"/>
        <family val="2"/>
      </rPr>
      <t xml:space="preserve">se atendieron </t>
    </r>
    <r>
      <rPr>
        <b/>
        <sz val="14"/>
        <color theme="1"/>
        <rFont val="Arial"/>
        <family val="2"/>
      </rPr>
      <t xml:space="preserve">1393 afiliaciones </t>
    </r>
    <r>
      <rPr>
        <sz val="14"/>
        <color theme="1"/>
        <rFont val="Arial"/>
        <family val="2"/>
      </rPr>
      <t xml:space="preserve">en diferentes jornadas de adiliacion realizadas en:
</t>
    </r>
    <r>
      <rPr>
        <b/>
        <sz val="14"/>
        <color theme="1"/>
        <rFont val="Arial"/>
        <family val="2"/>
      </rPr>
      <t>- Ciudad de Bicentenario (181)
- Colombiaton (58)
- Villas de Aranjuez (188)
- Alcibia (100)
- Pozon, Isla de Leon (52)
- Olaya Herrera, las americas (85)
- DIEP (Dia Internacional de Erradicacion de Pobreza) Realizado en 3 ligares: Santa Rita, Nelson Mandela y Perimetral  (729)</t>
    </r>
  </si>
  <si>
    <r>
      <t xml:space="preserve">Se observa un avance en el indicador de </t>
    </r>
    <r>
      <rPr>
        <b/>
        <sz val="14"/>
        <rFont val="Arial"/>
        <family val="2"/>
      </rPr>
      <t xml:space="preserve">1646 Adolecentes </t>
    </r>
    <r>
      <rPr>
        <sz val="14"/>
        <rFont val="Arial"/>
        <family val="2"/>
      </rPr>
      <t xml:space="preserve">Formados en promocion de la salud sexual y prevencion de embarazos en diferentes jornadas realizadas en los barrios:
</t>
    </r>
    <r>
      <rPr>
        <b/>
        <sz val="14"/>
        <rFont val="Arial"/>
        <family val="2"/>
      </rPr>
      <t>- DIEP (Dia Internacional de Erradicacion de Pobreza) Realizado en 3 ligares: Santa Rita, Nelson Mandela y Perimetral  (324)
- Colegio INEM (344)
- Manzanillo y sus alrededores , Serena del Mar(30)
- Colombiaton (182)
- Leticia - Recreo (35)
- Olaya Herrera (150)
- Ciudad Bicentenario (60.)
- Punta Canoa (25)
- 20 de Julio (150)
- Loma Fresca, la bendicion de Dios (35)
- Olaya Herrera Sct. Playas Blancas (48)
- El Zapatero (11)
- Boquilla (75)
- Pasacaballos (24)
- Olaya Herrera (153)</t>
    </r>
  </si>
  <si>
    <r>
      <t>Se observa un avance de</t>
    </r>
    <r>
      <rPr>
        <b/>
        <sz val="14"/>
        <rFont val="Arial"/>
        <family val="2"/>
      </rPr>
      <t xml:space="preserve"> 3470 Personas</t>
    </r>
    <r>
      <rPr>
        <sz val="14"/>
        <rFont val="Arial"/>
        <family val="2"/>
      </rPr>
      <t xml:space="preserve"> que han sido beneficiadas de las jornadas de ofertas de los servicios educativos en diferentes jornadas y diferentes aliados tales como:
</t>
    </r>
    <r>
      <rPr>
        <b/>
        <sz val="14"/>
        <rFont val="Arial"/>
        <family val="2"/>
      </rPr>
      <t xml:space="preserve">- ARDEC 
- CITUCAR 
- UNICOLOMBO 
- ESDISEÑOS 
- INST. BOLIVARIANO 
- MONTE SINAI (4)
- FUND. SOMOS MAS INCLUYENTES 
- SUMMIT 
- TECNAR 
- UNAD 
- CARL ROS 
- SECRETARIA DE EDUCACION 
- MAYOR DE BOLIVAR 
- CORPORACION UNIVERSITARIA RAFAEL NUÑEZ 
- UNIVERSIDAD NACIONAL 
- UNIFICADA NACIONAL 
- UNIMINUTO 
- UNICOLOMBO </t>
    </r>
  </si>
  <si>
    <r>
      <t>Se observa un avance de</t>
    </r>
    <r>
      <rPr>
        <b/>
        <sz val="14"/>
        <color theme="1"/>
        <rFont val="Arial"/>
        <family val="2"/>
      </rPr>
      <t xml:space="preserve"> 1765 Personas</t>
    </r>
    <r>
      <rPr>
        <sz val="14"/>
        <color theme="1"/>
        <rFont val="Arial"/>
        <family val="2"/>
      </rPr>
      <t xml:space="preserve"> que han accedido al sistema educativo con diferentes aliados tales como:</t>
    </r>
    <r>
      <rPr>
        <b/>
        <sz val="14"/>
        <color theme="1"/>
        <rFont val="Arial"/>
        <family val="2"/>
      </rPr>
      <t xml:space="preserve">
- ARDEC 
- CITUCAR 
- UNICOLOMBO 
- ESDISEÑOS 
- INST. BOLIVARIANO 
- MONTE SINAI (4)
- FUND. SOMOS MAS INCLUYENTES 
- SUMMIT 
- TECNAR 
- UNAD 
- CARL ROS 
- SECRETARIA DE EDUCACION 
- MAYOR DE BOLIVAR 
- CORPORACION UNIVERSITARIA RAFAEL NUÑEZ 
- UNIVERSIDAD NACIONAL 
- UNIFICADA NACIONAL 
- UNIMINUTO 
- UNICOLOMBO 
</t>
    </r>
    <r>
      <rPr>
        <sz val="14"/>
        <color theme="1"/>
        <rFont val="Arial"/>
        <family val="2"/>
      </rPr>
      <t>En las actividades realizadas Directamente por el PES, como la articualacion  con la Secretaria de Educacion se realizo la matriculaton elos dias 29 de noviembre y los dias 3 y 5 de diciembre de 2018</t>
    </r>
  </si>
  <si>
    <r>
      <t xml:space="preserve">Por medio de articulacion con PACARIBE,  URBASER  y el PES-PR se han realizado jornadas de limpieza y  Siembra (Arbolizacion),  en donde se hace una accion con calidad en el  entorno para un mejoramiento de la habitabilidad en donde se han intervenido </t>
    </r>
    <r>
      <rPr>
        <b/>
        <sz val="14"/>
        <color theme="1"/>
        <rFont val="Arial"/>
        <family val="2"/>
      </rPr>
      <t>4401 Viviendas.</t>
    </r>
  </si>
  <si>
    <r>
      <t xml:space="preserve">Se observa un avance en el indicador de </t>
    </r>
    <r>
      <rPr>
        <b/>
        <sz val="14"/>
        <color theme="1"/>
        <rFont val="Arial"/>
        <family val="2"/>
      </rPr>
      <t>54 unidades productivas creadas</t>
    </r>
    <r>
      <rPr>
        <sz val="14"/>
        <color theme="1"/>
        <rFont val="Arial"/>
        <family val="2"/>
      </rPr>
      <t xml:space="preserve"> ,  donde</t>
    </r>
    <r>
      <rPr>
        <b/>
        <sz val="14"/>
        <color theme="1"/>
        <rFont val="Arial"/>
        <family val="2"/>
      </rPr>
      <t xml:space="preserve"> 34</t>
    </r>
    <r>
      <rPr>
        <sz val="14"/>
        <color theme="1"/>
        <rFont val="Arial"/>
        <family val="2"/>
      </rPr>
      <t xml:space="preserve"> fueron en articulacion con Particupacion y </t>
    </r>
    <r>
      <rPr>
        <b/>
        <sz val="14"/>
        <color theme="1"/>
        <rFont val="Arial"/>
        <family val="2"/>
      </rPr>
      <t>20</t>
    </r>
    <r>
      <rPr>
        <sz val="14"/>
        <color theme="1"/>
        <rFont val="Arial"/>
        <family val="2"/>
      </rPr>
      <t xml:space="preserve">  se les brindo la capacitacion en barberia y se les doto para la creacion de sus unidades productivas. en el Barrio Olaya Herrera. </t>
    </r>
  </si>
  <si>
    <r>
      <t xml:space="preserve">Se observa un avance en el indicador de </t>
    </r>
    <r>
      <rPr>
        <b/>
        <sz val="14"/>
        <color theme="1"/>
        <rFont val="Arial"/>
        <family val="2"/>
      </rPr>
      <t>429 Personas que han accedo al sistema financiero</t>
    </r>
    <r>
      <rPr>
        <sz val="14"/>
        <color theme="1"/>
        <rFont val="Arial"/>
        <family val="2"/>
      </rPr>
      <t xml:space="preserve"> en articulacion con diferentes entidades financieras: Bancamia, Mundo Mujer, Banco W,  Bancompartir, Banco Agrario ,y  BEPS que es un programa de ahorro de  Colpensiones.</t>
    </r>
    <r>
      <rPr>
        <sz val="14"/>
        <color rgb="FFFF0000"/>
        <rFont val="Arial"/>
        <family val="2"/>
      </rPr>
      <t>.</t>
    </r>
  </si>
  <si>
    <r>
      <t>Se realizo</t>
    </r>
    <r>
      <rPr>
        <b/>
        <sz val="14"/>
        <color theme="1"/>
        <rFont val="Arial"/>
        <family val="2"/>
      </rPr>
      <t xml:space="preserve"> 2 ferias de microfinanciera a los vendedores ambualantes del Mercado de Bazurto y Bocagrande </t>
    </r>
    <r>
      <rPr>
        <sz val="14"/>
        <color theme="1"/>
        <rFont val="Arial"/>
        <family val="2"/>
      </rPr>
      <t xml:space="preserve">Donde Se llevaron mas de 6 entidades financieras tales como: </t>
    </r>
    <r>
      <rPr>
        <b/>
        <sz val="14"/>
        <color theme="1"/>
        <rFont val="Arial"/>
        <family val="2"/>
      </rPr>
      <t xml:space="preserve"> BANCAMIA, CAMBO MUNDO MUJER, BEPS-COLPENSIONES, FUNDACION MARIO SANTODOMINGO Y  BANCO W</t>
    </r>
    <r>
      <rPr>
        <sz val="14"/>
        <color theme="1"/>
        <rFont val="Arial"/>
        <family val="2"/>
      </rPr>
      <t>y Se atendieron a mas de 650 personas. Para estudio de credito y apertura de cuenta de ahorro.</t>
    </r>
  </si>
  <si>
    <r>
      <t xml:space="preserve">Se han realizado </t>
    </r>
    <r>
      <rPr>
        <b/>
        <sz val="14"/>
        <color theme="1"/>
        <rFont val="Arial"/>
        <family val="2"/>
      </rPr>
      <t>879 Valoraciones Nutricionales a niños mayores de 6 meses y menores de 5 años</t>
    </r>
    <r>
      <rPr>
        <sz val="14"/>
        <color theme="1"/>
        <rFont val="Arial"/>
        <family val="2"/>
      </rPr>
      <t>, en las direferentes jornadas realizadas por el Plan de Emergencia Social Pedro Romero</t>
    </r>
  </si>
  <si>
    <t>En las Diferentes actividades realizadas por el subprograma de dinamica familiar se han atendido a 765 victimas del conflicto armado.  Especialmente en la Jornada Realizada el 17 de Octubre del 2018 llamado DIEP 2018 realizada por el Plan de Emergencia Social Pedro Romero</t>
  </si>
  <si>
    <r>
      <t xml:space="preserve">se observa un avance de </t>
    </r>
    <r>
      <rPr>
        <b/>
        <sz val="14"/>
        <color theme="1"/>
        <rFont val="Arial"/>
        <family val="2"/>
      </rPr>
      <t>344 Jovenes  formadas en en prevención de consumo de alcohol y la drogadicción</t>
    </r>
    <r>
      <rPr>
        <sz val="14"/>
        <color theme="1"/>
        <rFont val="Arial"/>
        <family val="2"/>
      </rPr>
      <t>,  en la actividad desarrollada en el Colegio INEM  el dia 30 de octubre de 2018</t>
    </r>
  </si>
  <si>
    <r>
      <t xml:space="preserve">se observa un avance de </t>
    </r>
    <r>
      <rPr>
        <b/>
        <sz val="14"/>
        <color theme="1"/>
        <rFont val="Arial"/>
        <family val="2"/>
      </rPr>
      <t>378 personas formadas en mecanismos saludables de convivencia y expresiones de afecto</t>
    </r>
    <r>
      <rPr>
        <sz val="14"/>
        <color theme="1"/>
        <rFont val="Arial"/>
        <family val="2"/>
      </rPr>
      <t xml:space="preserve">,  por medio de recreacion y actividades ludicas, estas actividades fueron realizadas en los siguientes barrios:
</t>
    </r>
    <r>
      <rPr>
        <b/>
        <sz val="14"/>
        <color theme="1"/>
        <rFont val="Arial"/>
        <family val="2"/>
      </rPr>
      <t>-  Olaya Herrera Sct. Central (23)</t>
    </r>
    <r>
      <rPr>
        <sz val="14"/>
        <color theme="1"/>
        <rFont val="Arial"/>
        <family val="2"/>
      </rPr>
      <t xml:space="preserve">
</t>
    </r>
    <r>
      <rPr>
        <b/>
        <sz val="14"/>
        <color theme="1"/>
        <rFont val="Arial"/>
        <family val="2"/>
      </rPr>
      <t>- Blas de Lezo (20)
- El Recreo (40)
- Policarpa (50)
- Ciudadela 2000 (112)
- Tierra Bomba (100)
- Ciudad Bicentenario (33)</t>
    </r>
  </si>
  <si>
    <r>
      <t xml:space="preserve">se observa un avance de </t>
    </r>
    <r>
      <rPr>
        <b/>
        <sz val="14"/>
        <color theme="1"/>
        <rFont val="Arial"/>
        <family val="2"/>
      </rPr>
      <t>1502 personas formadas en mecanismos saludables de convivencia y expresiones de afecto</t>
    </r>
    <r>
      <rPr>
        <sz val="14"/>
        <color theme="1"/>
        <rFont val="Arial"/>
        <family val="2"/>
      </rPr>
      <t xml:space="preserve">,  por medio de recreacion y actividades ludicas, estas actividades fueron realizadas en los siguientes barrios:
</t>
    </r>
    <r>
      <rPr>
        <b/>
        <sz val="14"/>
        <color theme="1"/>
        <rFont val="Arial"/>
        <family val="2"/>
      </rPr>
      <t>-Ciudad Bicentenario 
- Fundacion AEIOTU Lomas del Peye
-  Loma Fresca, Sct. El Cementerio 
- Loma Fresca Sct. La Bendicion de Dios
- Cartagenita
- Cerros de Albornoz
- Colombiaton
 - Boquilla
- Arroz Barato Sct. La Paz
- Nuevo Paraiso - Pantanos de Vargas</t>
    </r>
  </si>
  <si>
    <r>
      <t xml:space="preserve">Se observa un avance de </t>
    </r>
    <r>
      <rPr>
        <b/>
        <sz val="14"/>
        <color theme="1"/>
        <rFont val="Arial"/>
        <family val="2"/>
      </rPr>
      <t xml:space="preserve">1295 Personas que han accedido a los servicios de justicia formal y no formal </t>
    </r>
    <r>
      <rPr>
        <sz val="14"/>
        <color theme="1"/>
        <rFont val="Arial"/>
        <family val="2"/>
      </rPr>
      <t>en donde se ha articulado con direferentes entidades del area juridica tales como:
-</t>
    </r>
    <r>
      <rPr>
        <b/>
        <sz val="14"/>
        <color theme="1"/>
        <rFont val="Arial"/>
        <family val="2"/>
      </rPr>
      <t xml:space="preserve"> Policia de infancia y adolecencia - Asesoria Juridica en Jovenes 
- Comisaria de Familia - Asesoria Juridica  General
- Electricaribe:  Recepcion de PQR
- Aguas de Cartagena - Recepcion de PQR</t>
    </r>
  </si>
  <si>
    <r>
      <t xml:space="preserve">Se observa un avance de </t>
    </r>
    <r>
      <rPr>
        <b/>
        <sz val="14"/>
        <rFont val="Arial"/>
        <family val="2"/>
      </rPr>
      <t xml:space="preserve">610 personas formadas en mecanismos de resolucion de comflictos </t>
    </r>
    <r>
      <rPr>
        <sz val="14"/>
        <rFont val="Arial"/>
        <family val="2"/>
      </rPr>
      <t xml:space="preserve">en las diferentes actividades realizadas en:
</t>
    </r>
    <r>
      <rPr>
        <b/>
        <sz val="14"/>
        <rFont val="Arial"/>
        <family val="2"/>
      </rPr>
      <t>- La Esperanza
- Santa Rita
- La Perimetral
- Nelson Mandela
- Flor del Campo
- Colegio INEM
- Ciudad de Bicentenario
- La Boquilla</t>
    </r>
  </si>
  <si>
    <t xml:space="preserve">En los meses de Octubre, Noviembre y Diciembre del pesente año, se digitalizaron la atencion realizada en las diferentes actividades desarrolladas por el Plan de Emergencia Social Pedro Romero. Las cuales estan organizadas por carpetas y filtradas por Fecha y Actividad. </t>
  </si>
  <si>
    <t>(8B) REPORTE META PRODUCTO EJECUTADA A MARZO DE 2018</t>
  </si>
  <si>
    <r>
      <t xml:space="preserve">Se observa un avance en el indicador de </t>
    </r>
    <r>
      <rPr>
        <b/>
        <sz val="14"/>
        <color theme="1"/>
        <rFont val="Arial"/>
        <family val="2"/>
      </rPr>
      <t xml:space="preserve">1998 Personas Identificadas en el Area Urbana, </t>
    </r>
    <r>
      <rPr>
        <sz val="14"/>
        <color theme="1"/>
        <rFont val="Arial"/>
        <family val="2"/>
      </rPr>
      <t xml:space="preserve">atendidas en las difrentes jornadas realizadas entre los meses de Octubre, Noviembre y Diciembre ddel presente año 2018: 
</t>
    </r>
    <r>
      <rPr>
        <b/>
        <sz val="14"/>
        <color theme="1"/>
        <rFont val="Arial"/>
        <family val="2"/>
      </rPr>
      <t xml:space="preserve">- DIEP (Dia Internacional de Erradicacion de Pobreza) Realizado en 3 lugares: Santa Rita, Nelson Mandela y Perimetral 
- Jornada de Identificacion casa de Justicia Chiquinquira (10 dias) 
- La Maria </t>
    </r>
  </si>
  <si>
    <t>INGRESOS CORRIENTES DE LIBRE DESTINACION</t>
  </si>
  <si>
    <t>02-001-06-20-01-05-01-01</t>
  </si>
  <si>
    <t>Recursos Provisionados</t>
  </si>
  <si>
    <t>02-009-06-95-01-05-01-01</t>
  </si>
  <si>
    <t>02-001-06-20-01-05-01-02</t>
  </si>
  <si>
    <t>02-009-06-95-01-05-01-02</t>
  </si>
  <si>
    <t>02-001-06-20-01-05-01-03</t>
  </si>
  <si>
    <t>02-009-06-95-01-05-01-03</t>
  </si>
  <si>
    <t>Rendimientos Financieros Otros Dividendos</t>
  </si>
  <si>
    <t>02-107-06-20-01-05-01-03</t>
  </si>
  <si>
    <t>02-001-06-20-01-05-01-04</t>
  </si>
  <si>
    <t>02-009-06-20-01-05-01-04</t>
  </si>
  <si>
    <t>02-001-06-20-01-05-01-05</t>
  </si>
  <si>
    <t>02-009-06-95-01-05-01-05</t>
  </si>
  <si>
    <t>02-001-06-20-01-05-01-06</t>
  </si>
  <si>
    <t>02-009-06-95-01-05-01-06</t>
  </si>
  <si>
    <t>MATRIZ DE SEGUIMIENTO Y EVALUACION PLAN DE DESARROLLO Y PLAN DE ACCION</t>
  </si>
  <si>
    <t>02-001-06-20-01-05-01-07</t>
  </si>
  <si>
    <t>02-009-06-95-01-05-01-07</t>
  </si>
  <si>
    <t>02-001-06-20-01-05-01-08</t>
  </si>
  <si>
    <t>02-009-06-95-01-05-01-08</t>
  </si>
  <si>
    <t>EJECUCION PRESUPUESTAL POR SUBPROGRAMAS SEGÚN PREDIS</t>
  </si>
  <si>
    <t>02-001-06-20-01-05-01-09</t>
  </si>
  <si>
    <t>02-009-06-95-01-05-01-09</t>
  </si>
  <si>
    <t>02-001-06-20-01-05-01-11
02-001-06-20-01-05-01-10</t>
  </si>
  <si>
    <t>1. INGRESOS CORRIENTES DE LIBRE DESTINACION
2. ACCIONES ESTRATEGICA SUPERACION DE LA POBREZA EXTREMA - ICLD</t>
  </si>
  <si>
    <t>02-009-06-95-01-05-01-11</t>
  </si>
  <si>
    <t>AVANCE PLAN DE ACCIÓN PES PR CORTE DICIEMBRE 31 DE 2018</t>
  </si>
  <si>
    <t>AVANCE META PRODUCTO ACUMULADO (PLANEACION UPDD)</t>
  </si>
  <si>
    <t>AVANCE SUBPROGRAMA (PLANEACION UPDD)</t>
  </si>
  <si>
    <t>AVANCE PLAN DE DESARROLLO ACUMULADO CORTE DICIEMBRE 31 DE 2018 PES PR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</si>
</sst>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_-&quot;$&quot;\ * #,##0_-;\-&quot;$&quot;\ * #,##0_-;_-&quot;$&quot;\ * &quot;-&quot;_-;_-@_-"/>
    <numFmt numFmtId="165" formatCode="&quot;$&quot;\ #,##0"/>
  </numFmts>
  <fonts count="19"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indexed="81"/>
      <name val="Tahoma"/>
      <family val="2"/>
    </font>
    <font>
      <b/>
      <sz val="14"/>
      <name val="Arial"/>
      <family val="2"/>
    </font>
    <font>
      <b/>
      <sz val="14"/>
      <color rgb="FFFF0000"/>
      <name val="Arial"/>
      <family val="2"/>
    </font>
    <font>
      <sz val="14"/>
      <color theme="1"/>
      <name val="Arial"/>
      <family val="2"/>
    </font>
    <font>
      <sz val="14"/>
      <color indexed="8"/>
      <name val="Arial"/>
      <family val="2"/>
    </font>
    <font>
      <b/>
      <sz val="14"/>
      <color indexed="8"/>
      <name val="Arial"/>
      <family val="2"/>
    </font>
    <font>
      <b/>
      <sz val="14"/>
      <color theme="1"/>
      <name val="Arial"/>
      <family val="2"/>
    </font>
    <font>
      <b/>
      <sz val="20"/>
      <color theme="1"/>
      <name val="Arial"/>
      <family val="2"/>
    </font>
    <font>
      <sz val="30"/>
      <color indexed="8"/>
      <name val="Arial"/>
      <family val="2"/>
    </font>
    <font>
      <sz val="14"/>
      <color rgb="FFFF0000"/>
      <name val="Arial"/>
      <family val="2"/>
    </font>
    <font>
      <sz val="14"/>
      <name val="Arial"/>
      <family val="2"/>
    </font>
    <font>
      <b/>
      <sz val="24"/>
      <color rgb="FFFF0000"/>
      <name val="Arial"/>
      <family val="2"/>
    </font>
    <font>
      <sz val="10"/>
      <color indexed="8"/>
      <name val="Arial"/>
      <family val="2"/>
    </font>
    <font>
      <b/>
      <sz val="16"/>
      <color theme="1"/>
      <name val="Arial"/>
      <family val="2"/>
    </font>
    <font>
      <b/>
      <sz val="16"/>
      <name val="Arial"/>
      <family val="2"/>
    </font>
  </fonts>
  <fills count="7">
    <fill>
      <patternFill patternType="none"/>
    </fill>
    <fill>
      <patternFill patternType="gray125"/>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thin">
        <color indexed="8"/>
      </bottom>
      <diagonal/>
    </border>
    <border>
      <left/>
      <right/>
      <top style="thin">
        <color indexed="8"/>
      </top>
      <bottom style="thin">
        <color indexed="8"/>
      </bottom>
      <diagonal/>
    </border>
    <border>
      <left/>
      <right style="medium">
        <color indexed="64"/>
      </right>
      <top style="medium">
        <color indexed="64"/>
      </top>
      <bottom style="medium">
        <color indexed="64"/>
      </bottom>
      <diagonal/>
    </border>
    <border>
      <left/>
      <right style="thin">
        <color indexed="8"/>
      </right>
      <top style="medium">
        <color indexed="8"/>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diagonal/>
    </border>
    <border>
      <left style="thin">
        <color indexed="8"/>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8"/>
      </right>
      <top style="medium">
        <color indexed="8"/>
      </top>
      <bottom style="thin">
        <color indexed="8"/>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290">
    <xf numFmtId="0" fontId="0" fillId="0" borderId="0" xfId="0"/>
    <xf numFmtId="0" fontId="7" fillId="0" borderId="2" xfId="0" applyFont="1" applyBorder="1" applyAlignment="1">
      <alignment horizontal="center" vertical="center"/>
    </xf>
    <xf numFmtId="3" fontId="7" fillId="0" borderId="2" xfId="0" applyNumberFormat="1" applyFont="1" applyBorder="1" applyAlignment="1">
      <alignment horizontal="center" vertical="center"/>
    </xf>
    <xf numFmtId="0" fontId="5" fillId="0" borderId="5" xfId="0" applyFont="1" applyFill="1" applyBorder="1" applyAlignment="1">
      <alignment horizontal="center" vertical="center" wrapText="1"/>
    </xf>
    <xf numFmtId="0" fontId="7" fillId="0" borderId="0" xfId="0" applyFont="1" applyAlignment="1">
      <alignment vertical="center"/>
    </xf>
    <xf numFmtId="0" fontId="9" fillId="0"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xf>
    <xf numFmtId="10" fontId="7" fillId="0" borderId="1" xfId="1" applyNumberFormat="1" applyFont="1" applyBorder="1" applyAlignment="1">
      <alignment horizontal="center" vertical="center"/>
    </xf>
    <xf numFmtId="49" fontId="8" fillId="3" borderId="40" xfId="0" applyNumberFormat="1" applyFont="1" applyFill="1" applyBorder="1" applyAlignment="1">
      <alignment horizontal="left" vertical="center" wrapText="1"/>
    </xf>
    <xf numFmtId="3" fontId="9" fillId="0" borderId="21" xfId="0" applyNumberFormat="1" applyFont="1" applyFill="1" applyBorder="1" applyAlignment="1">
      <alignment horizontal="center" vertical="center"/>
    </xf>
    <xf numFmtId="49" fontId="8" fillId="0" borderId="29" xfId="0" applyNumberFormat="1" applyFont="1" applyFill="1" applyBorder="1" applyAlignment="1">
      <alignment vertical="center" wrapText="1"/>
    </xf>
    <xf numFmtId="0" fontId="9" fillId="0" borderId="2" xfId="0" applyNumberFormat="1" applyFont="1" applyFill="1" applyBorder="1" applyAlignment="1">
      <alignment horizontal="center" vertical="center" wrapText="1"/>
    </xf>
    <xf numFmtId="0" fontId="7" fillId="0" borderId="0" xfId="0" applyFont="1" applyAlignment="1">
      <alignment horizontal="center" vertical="center"/>
    </xf>
    <xf numFmtId="49" fontId="8" fillId="3" borderId="41" xfId="0" applyNumberFormat="1" applyFont="1" applyFill="1" applyBorder="1" applyAlignment="1">
      <alignment horizontal="left" vertical="center" wrapText="1"/>
    </xf>
    <xf numFmtId="3" fontId="9" fillId="0" borderId="17"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0" borderId="2" xfId="0" applyFont="1" applyBorder="1" applyAlignment="1">
      <alignment vertical="center" wrapText="1"/>
    </xf>
    <xf numFmtId="49" fontId="8" fillId="2" borderId="29" xfId="0" applyNumberFormat="1" applyFont="1" applyFill="1" applyBorder="1" applyAlignment="1">
      <alignment vertical="center" wrapText="1"/>
    </xf>
    <xf numFmtId="0" fontId="9" fillId="2"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3" fontId="5" fillId="0" borderId="17" xfId="0" applyNumberFormat="1" applyFont="1" applyFill="1" applyBorder="1" applyAlignment="1">
      <alignment horizontal="center" vertical="center"/>
    </xf>
    <xf numFmtId="0" fontId="10" fillId="4" borderId="1" xfId="0" applyFont="1" applyFill="1" applyBorder="1" applyAlignment="1">
      <alignment horizontal="center" vertical="center"/>
    </xf>
    <xf numFmtId="49" fontId="8" fillId="2" borderId="29" xfId="0" applyNumberFormat="1" applyFont="1" applyFill="1" applyBorder="1" applyAlignment="1">
      <alignment horizontal="left" vertical="center" wrapText="1"/>
    </xf>
    <xf numFmtId="10" fontId="9" fillId="0" borderId="33" xfId="1" applyNumberFormat="1" applyFont="1" applyFill="1" applyBorder="1" applyAlignment="1">
      <alignment horizontal="center" vertical="center"/>
    </xf>
    <xf numFmtId="49" fontId="8" fillId="2" borderId="3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49" fontId="8" fillId="0" borderId="33" xfId="0" applyNumberFormat="1" applyFont="1" applyFill="1" applyBorder="1" applyAlignment="1">
      <alignment vertical="center" wrapText="1"/>
    </xf>
    <xf numFmtId="0" fontId="7" fillId="0" borderId="0" xfId="0" applyFont="1" applyBorder="1" applyAlignment="1">
      <alignment vertical="center"/>
    </xf>
    <xf numFmtId="10" fontId="7" fillId="0" borderId="2" xfId="1" applyNumberFormat="1" applyFont="1" applyBorder="1" applyAlignment="1">
      <alignment horizontal="center" vertical="center"/>
    </xf>
    <xf numFmtId="0" fontId="5" fillId="0" borderId="0" xfId="0" applyFont="1" applyFill="1" applyBorder="1" applyAlignment="1">
      <alignment vertical="center"/>
    </xf>
    <xf numFmtId="0" fontId="7" fillId="0" borderId="0" xfId="0" applyFont="1" applyAlignment="1">
      <alignment vertical="center" wrapText="1"/>
    </xf>
    <xf numFmtId="49" fontId="8" fillId="3" borderId="17"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xf>
    <xf numFmtId="0" fontId="7" fillId="0" borderId="0" xfId="0" applyFont="1" applyBorder="1" applyAlignment="1">
      <alignment vertical="center" wrapText="1"/>
    </xf>
    <xf numFmtId="0" fontId="7" fillId="0" borderId="1" xfId="0" applyFont="1" applyFill="1" applyBorder="1" applyAlignment="1">
      <alignment horizontal="center" vertical="center"/>
    </xf>
    <xf numFmtId="0" fontId="7" fillId="0" borderId="0" xfId="0" applyFont="1" applyFill="1" applyAlignment="1">
      <alignment vertical="center"/>
    </xf>
    <xf numFmtId="0" fontId="10" fillId="0"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6" fillId="6" borderId="1" xfId="0" applyFont="1" applyFill="1" applyBorder="1" applyAlignment="1">
      <alignment horizontal="center" vertical="center"/>
    </xf>
    <xf numFmtId="49" fontId="6" fillId="6" borderId="41" xfId="0" applyNumberFormat="1" applyFont="1" applyFill="1" applyBorder="1" applyAlignment="1">
      <alignment horizontal="left" vertical="center" wrapText="1"/>
    </xf>
    <xf numFmtId="9" fontId="6" fillId="6" borderId="1" xfId="1" applyFont="1" applyFill="1" applyBorder="1" applyAlignment="1">
      <alignment horizontal="center" vertical="center"/>
    </xf>
    <xf numFmtId="0" fontId="8" fillId="3" borderId="2" xfId="0" applyFont="1" applyFill="1" applyBorder="1" applyAlignment="1">
      <alignment horizontal="center" vertical="center" wrapText="1"/>
    </xf>
    <xf numFmtId="165" fontId="8" fillId="3" borderId="1" xfId="2" applyNumberFormat="1" applyFont="1" applyFill="1" applyBorder="1" applyAlignment="1">
      <alignment horizontal="center" vertical="center" wrapText="1"/>
    </xf>
    <xf numFmtId="165" fontId="8" fillId="3" borderId="2" xfId="2" applyNumberFormat="1" applyFont="1" applyFill="1" applyBorder="1" applyAlignment="1">
      <alignment horizontal="center" vertical="center" wrapText="1"/>
    </xf>
    <xf numFmtId="165" fontId="7" fillId="0" borderId="0" xfId="2" applyNumberFormat="1" applyFont="1" applyAlignment="1">
      <alignment horizontal="center" vertical="center"/>
    </xf>
    <xf numFmtId="0" fontId="7" fillId="0" borderId="53" xfId="0" applyFont="1" applyBorder="1" applyAlignment="1">
      <alignment horizontal="center" vertical="center" wrapText="1"/>
    </xf>
    <xf numFmtId="0" fontId="10" fillId="0" borderId="1" xfId="0" applyFont="1" applyBorder="1" applyAlignment="1">
      <alignment horizontal="center" vertical="center"/>
    </xf>
    <xf numFmtId="9" fontId="7" fillId="0" borderId="0" xfId="0" applyNumberFormat="1" applyFont="1" applyAlignment="1">
      <alignment vertical="center"/>
    </xf>
    <xf numFmtId="0" fontId="7" fillId="0" borderId="0" xfId="0" applyFont="1" applyBorder="1" applyAlignment="1">
      <alignment horizontal="center" vertical="center" wrapText="1"/>
    </xf>
    <xf numFmtId="0" fontId="7" fillId="0" borderId="51" xfId="0" applyFont="1" applyBorder="1" applyAlignment="1">
      <alignment vertical="center" wrapText="1"/>
    </xf>
    <xf numFmtId="0" fontId="8" fillId="3" borderId="52" xfId="0" applyFont="1" applyFill="1" applyBorder="1" applyAlignment="1">
      <alignment horizontal="center" vertical="center" wrapText="1"/>
    </xf>
    <xf numFmtId="165" fontId="8" fillId="3" borderId="64" xfId="2" applyNumberFormat="1" applyFont="1" applyFill="1" applyBorder="1" applyAlignment="1">
      <alignment horizontal="center" vertical="center" wrapText="1"/>
    </xf>
    <xf numFmtId="165" fontId="8" fillId="3" borderId="52" xfId="2" applyNumberFormat="1" applyFont="1" applyFill="1" applyBorder="1" applyAlignment="1">
      <alignment horizontal="center" vertical="center" wrapText="1"/>
    </xf>
    <xf numFmtId="165" fontId="8" fillId="3" borderId="65" xfId="2" applyNumberFormat="1" applyFont="1" applyFill="1" applyBorder="1" applyAlignment="1">
      <alignment horizontal="center" vertical="center" wrapText="1"/>
    </xf>
    <xf numFmtId="49" fontId="8" fillId="3" borderId="66" xfId="0" applyNumberFormat="1" applyFont="1" applyFill="1" applyBorder="1" applyAlignment="1">
      <alignment horizontal="center" vertical="center" wrapText="1"/>
    </xf>
    <xf numFmtId="49" fontId="8" fillId="3" borderId="67" xfId="0" applyNumberFormat="1" applyFont="1" applyFill="1" applyBorder="1" applyAlignment="1">
      <alignment horizontal="center" vertical="center" wrapText="1"/>
    </xf>
    <xf numFmtId="165" fontId="8" fillId="3" borderId="68" xfId="2" applyNumberFormat="1" applyFont="1" applyFill="1" applyBorder="1" applyAlignment="1">
      <alignment horizontal="center" vertical="center" wrapText="1"/>
    </xf>
    <xf numFmtId="165" fontId="8" fillId="3" borderId="67" xfId="2" applyNumberFormat="1" applyFont="1" applyFill="1" applyBorder="1" applyAlignment="1">
      <alignment horizontal="center" vertical="center" wrapText="1"/>
    </xf>
    <xf numFmtId="49" fontId="8" fillId="3" borderId="69" xfId="0" applyNumberFormat="1" applyFont="1" applyFill="1" applyBorder="1" applyAlignment="1">
      <alignment horizontal="center" vertical="center" wrapText="1"/>
    </xf>
    <xf numFmtId="165" fontId="8" fillId="3" borderId="71" xfId="2" applyNumberFormat="1" applyFont="1" applyFill="1" applyBorder="1" applyAlignment="1">
      <alignment horizontal="center" vertical="center" wrapText="1"/>
    </xf>
    <xf numFmtId="165" fontId="8" fillId="3" borderId="70" xfId="2" applyNumberFormat="1"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16" fillId="3" borderId="67" xfId="0" applyFont="1" applyFill="1" applyBorder="1" applyAlignment="1">
      <alignment horizontal="center" vertical="center" wrapText="1"/>
    </xf>
    <xf numFmtId="165" fontId="8" fillId="3" borderId="81" xfId="2" applyNumberFormat="1" applyFont="1" applyFill="1" applyBorder="1" applyAlignment="1">
      <alignment horizontal="center" vertical="center" wrapText="1"/>
    </xf>
    <xf numFmtId="165" fontId="8" fillId="3" borderId="82" xfId="2" applyNumberFormat="1" applyFont="1" applyFill="1" applyBorder="1" applyAlignment="1">
      <alignment horizontal="center" vertical="center" wrapText="1"/>
    </xf>
    <xf numFmtId="6" fontId="14" fillId="0" borderId="69" xfId="0" applyNumberFormat="1" applyFont="1" applyFill="1" applyBorder="1" applyAlignment="1">
      <alignment horizontal="center" vertical="center" wrapText="1"/>
    </xf>
    <xf numFmtId="6" fontId="14" fillId="0" borderId="70" xfId="0" applyNumberFormat="1" applyFont="1" applyFill="1" applyBorder="1" applyAlignment="1">
      <alignment horizontal="center" vertical="center" wrapText="1"/>
    </xf>
    <xf numFmtId="165" fontId="10" fillId="0" borderId="47" xfId="2" applyNumberFormat="1" applyFont="1" applyBorder="1" applyAlignment="1">
      <alignment horizontal="center" vertical="center"/>
    </xf>
    <xf numFmtId="10" fontId="10" fillId="0" borderId="12" xfId="0" applyNumberFormat="1" applyFont="1" applyBorder="1" applyAlignment="1">
      <alignment horizontal="center" vertical="center"/>
    </xf>
    <xf numFmtId="0" fontId="7" fillId="0" borderId="84" xfId="0" applyFont="1" applyBorder="1" applyAlignment="1">
      <alignment vertical="center" wrapText="1"/>
    </xf>
    <xf numFmtId="0" fontId="7" fillId="0" borderId="86" xfId="0" applyFont="1" applyBorder="1" applyAlignment="1">
      <alignment vertical="center" wrapText="1"/>
    </xf>
    <xf numFmtId="0" fontId="14" fillId="0" borderId="86" xfId="0" applyFont="1" applyBorder="1" applyAlignment="1">
      <alignment vertical="center" wrapText="1"/>
    </xf>
    <xf numFmtId="0" fontId="7" fillId="0" borderId="87" xfId="0" applyFont="1" applyBorder="1" applyAlignment="1">
      <alignment vertical="center" wrapText="1"/>
    </xf>
    <xf numFmtId="0" fontId="14" fillId="0" borderId="0" xfId="0" applyFont="1" applyBorder="1" applyAlignment="1">
      <alignment vertical="center" wrapText="1"/>
    </xf>
    <xf numFmtId="0" fontId="14" fillId="0" borderId="87" xfId="0" applyFont="1" applyBorder="1" applyAlignment="1">
      <alignment vertical="center" wrapText="1"/>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7" fillId="4" borderId="3" xfId="0" applyFont="1" applyFill="1" applyBorder="1" applyAlignment="1">
      <alignment horizontal="center" vertical="center"/>
    </xf>
    <xf numFmtId="49" fontId="8" fillId="2" borderId="9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9" fontId="8" fillId="3" borderId="89" xfId="0" applyNumberFormat="1" applyFont="1" applyFill="1" applyBorder="1" applyAlignment="1">
      <alignment horizontal="center" vertical="center" wrapText="1"/>
    </xf>
    <xf numFmtId="6" fontId="8" fillId="3" borderId="89" xfId="0" applyNumberFormat="1" applyFont="1" applyFill="1" applyBorder="1" applyAlignment="1">
      <alignment horizontal="center" vertical="center" wrapText="1"/>
    </xf>
    <xf numFmtId="6" fontId="14" fillId="0" borderId="94" xfId="0" applyNumberFormat="1" applyFont="1" applyFill="1" applyBorder="1" applyAlignment="1">
      <alignment horizontal="center" vertical="center" wrapText="1"/>
    </xf>
    <xf numFmtId="0" fontId="7" fillId="0" borderId="71" xfId="0" applyFont="1" applyBorder="1" applyAlignment="1">
      <alignment vertical="center" wrapText="1"/>
    </xf>
    <xf numFmtId="0" fontId="7" fillId="0" borderId="70" xfId="0" applyFont="1" applyBorder="1" applyAlignment="1">
      <alignment vertical="center" wrapText="1"/>
    </xf>
    <xf numFmtId="0" fontId="14" fillId="0" borderId="70" xfId="0" applyFont="1" applyBorder="1" applyAlignment="1">
      <alignment vertical="center" wrapText="1"/>
    </xf>
    <xf numFmtId="0" fontId="7" fillId="0" borderId="15" xfId="0" applyFont="1" applyBorder="1" applyAlignment="1">
      <alignment vertical="center"/>
    </xf>
    <xf numFmtId="0" fontId="14" fillId="0" borderId="72" xfId="0" applyFont="1" applyBorder="1" applyAlignment="1">
      <alignment vertical="center" wrapText="1"/>
    </xf>
    <xf numFmtId="0" fontId="5" fillId="0" borderId="15"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4" borderId="1"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3" fontId="17" fillId="0" borderId="2" xfId="0" applyNumberFormat="1" applyFont="1" applyBorder="1" applyAlignment="1">
      <alignment horizontal="center" vertical="center"/>
    </xf>
    <xf numFmtId="0" fontId="17" fillId="0" borderId="0" xfId="0" applyFont="1" applyAlignment="1">
      <alignment vertical="center"/>
    </xf>
    <xf numFmtId="10" fontId="10" fillId="0" borderId="5" xfId="0" applyNumberFormat="1" applyFont="1" applyBorder="1" applyAlignment="1">
      <alignment horizontal="center" vertical="center"/>
    </xf>
    <xf numFmtId="3" fontId="17" fillId="0" borderId="52" xfId="0" applyNumberFormat="1" applyFont="1" applyBorder="1" applyAlignment="1">
      <alignment horizontal="center" vertical="center"/>
    </xf>
    <xf numFmtId="3" fontId="17" fillId="0" borderId="1" xfId="0" applyNumberFormat="1" applyFont="1" applyBorder="1" applyAlignment="1">
      <alignment horizontal="center" vertical="center"/>
    </xf>
    <xf numFmtId="10" fontId="7" fillId="0" borderId="52" xfId="1" applyNumberFormat="1" applyFont="1" applyBorder="1" applyAlignment="1">
      <alignment horizontal="center" vertical="center"/>
    </xf>
    <xf numFmtId="10" fontId="7" fillId="0" borderId="1" xfId="1" applyNumberFormat="1" applyFont="1" applyBorder="1" applyAlignment="1">
      <alignment horizontal="center" vertical="center"/>
    </xf>
    <xf numFmtId="10" fontId="7" fillId="0" borderId="3" xfId="1" applyNumberFormat="1" applyFont="1" applyBorder="1" applyAlignment="1">
      <alignment horizontal="center" vertical="center"/>
    </xf>
    <xf numFmtId="4" fontId="17" fillId="0" borderId="52" xfId="0" applyNumberFormat="1" applyFont="1" applyBorder="1" applyAlignment="1">
      <alignment horizontal="center" vertical="center"/>
    </xf>
    <xf numFmtId="4" fontId="17" fillId="0" borderId="3" xfId="0" applyNumberFormat="1" applyFont="1" applyBorder="1" applyAlignment="1">
      <alignment horizontal="center" vertical="center"/>
    </xf>
    <xf numFmtId="10" fontId="7" fillId="0" borderId="2" xfId="1" applyNumberFormat="1" applyFont="1" applyBorder="1" applyAlignment="1">
      <alignment horizontal="center" vertical="center"/>
    </xf>
    <xf numFmtId="10" fontId="7" fillId="0" borderId="22" xfId="1" applyNumberFormat="1" applyFont="1" applyBorder="1" applyAlignment="1">
      <alignment horizontal="center" vertical="center"/>
    </xf>
    <xf numFmtId="49" fontId="8" fillId="3" borderId="17" xfId="0"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5" fillId="0" borderId="50" xfId="0" applyFont="1" applyBorder="1" applyAlignment="1">
      <alignment horizontal="center" textRotation="90"/>
    </xf>
    <xf numFmtId="0" fontId="15" fillId="0" borderId="31" xfId="0" applyFont="1" applyBorder="1" applyAlignment="1">
      <alignment horizontal="center" textRotation="90"/>
    </xf>
    <xf numFmtId="0" fontId="5" fillId="0" borderId="4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50" xfId="0" applyFont="1" applyBorder="1" applyAlignment="1">
      <alignment horizontal="left" vertical="center" wrapText="1"/>
    </xf>
    <xf numFmtId="0" fontId="7" fillId="0" borderId="65" xfId="0" applyFont="1" applyBorder="1" applyAlignment="1">
      <alignment horizontal="left" vertical="center" wrapText="1"/>
    </xf>
    <xf numFmtId="49" fontId="8" fillId="2" borderId="83" xfId="0" applyNumberFormat="1" applyFont="1" applyFill="1" applyBorder="1" applyAlignment="1">
      <alignment horizontal="center" vertical="center" textRotation="90" wrapText="1"/>
    </xf>
    <xf numFmtId="0" fontId="8" fillId="2" borderId="85" xfId="0" applyFont="1" applyFill="1" applyBorder="1" applyAlignment="1">
      <alignment horizontal="center" vertical="center" textRotation="90" wrapText="1"/>
    </xf>
    <xf numFmtId="0" fontId="8" fillId="2" borderId="61" xfId="0" applyFont="1" applyFill="1" applyBorder="1" applyAlignment="1">
      <alignment horizontal="center" vertical="center" textRotation="90" wrapText="1"/>
    </xf>
    <xf numFmtId="0" fontId="8" fillId="2" borderId="88" xfId="0" applyFont="1" applyFill="1" applyBorder="1" applyAlignment="1">
      <alignment horizontal="center" vertical="center" textRotation="90" wrapText="1"/>
    </xf>
    <xf numFmtId="49" fontId="8" fillId="2" borderId="16" xfId="0" applyNumberFormat="1" applyFont="1" applyFill="1" applyBorder="1" applyAlignment="1">
      <alignment horizontal="center" vertical="center" textRotation="90" wrapText="1"/>
    </xf>
    <xf numFmtId="0" fontId="8" fillId="2" borderId="17" xfId="0" applyFont="1" applyFill="1" applyBorder="1" applyAlignment="1">
      <alignment horizontal="center" vertical="center" textRotation="90" wrapText="1"/>
    </xf>
    <xf numFmtId="0" fontId="8" fillId="2" borderId="63" xfId="0" applyFont="1" applyFill="1" applyBorder="1" applyAlignment="1">
      <alignment horizontal="center" vertical="center" textRotation="90" wrapText="1"/>
    </xf>
    <xf numFmtId="0" fontId="8" fillId="2" borderId="89" xfId="0" applyFont="1" applyFill="1" applyBorder="1" applyAlignment="1">
      <alignment horizontal="center" vertical="center" textRotation="90" wrapText="1"/>
    </xf>
    <xf numFmtId="49" fontId="12" fillId="2" borderId="21" xfId="0" applyNumberFormat="1" applyFont="1" applyFill="1" applyBorder="1" applyAlignment="1">
      <alignment horizontal="center" vertical="center" textRotation="90" wrapText="1"/>
    </xf>
    <xf numFmtId="0" fontId="12" fillId="2" borderId="17" xfId="0" applyFont="1" applyFill="1" applyBorder="1" applyAlignment="1">
      <alignment horizontal="center" vertical="center" textRotation="90" wrapText="1"/>
    </xf>
    <xf numFmtId="0" fontId="12" fillId="2" borderId="63" xfId="0" applyFont="1" applyFill="1" applyBorder="1" applyAlignment="1">
      <alignment horizontal="center" vertical="center" textRotation="90" wrapText="1"/>
    </xf>
    <xf numFmtId="0" fontId="12" fillId="2" borderId="89" xfId="0" applyFont="1" applyFill="1" applyBorder="1" applyAlignment="1">
      <alignment horizontal="center" vertical="center" textRotation="90" wrapText="1"/>
    </xf>
    <xf numFmtId="49" fontId="12" fillId="2" borderId="16" xfId="0" applyNumberFormat="1" applyFont="1" applyFill="1" applyBorder="1" applyAlignment="1">
      <alignment horizontal="center" vertical="center" textRotation="90" wrapText="1"/>
    </xf>
    <xf numFmtId="49" fontId="8" fillId="0" borderId="17"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49" fontId="8" fillId="2" borderId="1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49" fontId="8" fillId="3" borderId="43" xfId="0" applyNumberFormat="1" applyFont="1" applyFill="1" applyBorder="1" applyAlignment="1">
      <alignment horizontal="center" vertical="center" wrapText="1"/>
    </xf>
    <xf numFmtId="0" fontId="8" fillId="3" borderId="32" xfId="0" applyFont="1" applyFill="1" applyBorder="1" applyAlignment="1">
      <alignment horizontal="center" vertical="center" wrapText="1"/>
    </xf>
    <xf numFmtId="49" fontId="8" fillId="3" borderId="32"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19" xfId="0"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90" xfId="0" applyFont="1" applyBorder="1" applyAlignment="1">
      <alignment horizontal="center" vertical="center"/>
    </xf>
    <xf numFmtId="9" fontId="7" fillId="0" borderId="23" xfId="0" applyNumberFormat="1" applyFont="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10" fontId="9" fillId="0" borderId="34" xfId="1" applyNumberFormat="1" applyFont="1" applyFill="1" applyBorder="1" applyAlignment="1">
      <alignment horizontal="center" vertical="center"/>
    </xf>
    <xf numFmtId="10" fontId="9" fillId="0" borderId="38" xfId="1" applyNumberFormat="1" applyFont="1" applyFill="1" applyBorder="1" applyAlignment="1">
      <alignment horizontal="center" vertical="center"/>
    </xf>
    <xf numFmtId="10" fontId="9" fillId="0" borderId="35" xfId="1" applyNumberFormat="1" applyFont="1" applyFill="1" applyBorder="1" applyAlignment="1">
      <alignment horizontal="center" vertical="center"/>
    </xf>
    <xf numFmtId="10" fontId="5" fillId="0" borderId="34" xfId="1" applyNumberFormat="1" applyFont="1" applyFill="1" applyBorder="1" applyAlignment="1">
      <alignment horizontal="center" vertical="center"/>
    </xf>
    <xf numFmtId="10" fontId="5" fillId="0" borderId="38" xfId="1" applyNumberFormat="1" applyFont="1" applyFill="1" applyBorder="1" applyAlignment="1">
      <alignment horizontal="center" vertical="center"/>
    </xf>
    <xf numFmtId="10" fontId="5" fillId="0" borderId="35" xfId="1" applyNumberFormat="1" applyFont="1" applyFill="1" applyBorder="1" applyAlignment="1">
      <alignment horizontal="center" vertical="center"/>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49" fontId="8" fillId="2" borderId="61" xfId="0" applyNumberFormat="1" applyFont="1" applyFill="1" applyBorder="1" applyAlignment="1">
      <alignment horizontal="center" vertical="center" wrapText="1"/>
    </xf>
    <xf numFmtId="49" fontId="8" fillId="2" borderId="62" xfId="0" applyNumberFormat="1" applyFont="1" applyFill="1" applyBorder="1" applyAlignment="1">
      <alignment horizontal="center" vertical="center" wrapText="1"/>
    </xf>
    <xf numFmtId="49" fontId="8" fillId="3" borderId="63"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10" fontId="11" fillId="0" borderId="34" xfId="0" applyNumberFormat="1" applyFont="1" applyBorder="1" applyAlignment="1">
      <alignment horizontal="center" vertical="center"/>
    </xf>
    <xf numFmtId="0" fontId="11" fillId="0" borderId="38" xfId="0" applyFont="1" applyBorder="1" applyAlignment="1">
      <alignment horizontal="center" vertical="center"/>
    </xf>
    <xf numFmtId="0" fontId="11" fillId="0" borderId="35" xfId="0" applyFont="1" applyBorder="1" applyAlignment="1">
      <alignment horizontal="center" vertical="center"/>
    </xf>
    <xf numFmtId="0" fontId="7" fillId="0" borderId="25" xfId="0" applyFont="1" applyBorder="1" applyAlignment="1">
      <alignment horizontal="center" vertical="center" wrapText="1"/>
    </xf>
    <xf numFmtId="0" fontId="11" fillId="0" borderId="0" xfId="0" applyFont="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2" xfId="0" applyFont="1" applyFill="1" applyBorder="1" applyAlignment="1">
      <alignment horizontal="center" vertical="center"/>
    </xf>
    <xf numFmtId="10" fontId="8" fillId="3" borderId="75" xfId="1" applyNumberFormat="1" applyFont="1" applyFill="1" applyBorder="1" applyAlignment="1">
      <alignment horizontal="center" vertical="center" wrapText="1"/>
    </xf>
    <xf numFmtId="10" fontId="8" fillId="3" borderId="77" xfId="1" applyNumberFormat="1" applyFont="1" applyFill="1" applyBorder="1" applyAlignment="1">
      <alignment horizontal="center" vertical="center" wrapText="1"/>
    </xf>
    <xf numFmtId="10" fontId="8" fillId="3" borderId="78" xfId="1" applyNumberFormat="1"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8" fillId="3" borderId="52" xfId="2" applyNumberFormat="1" applyFont="1" applyFill="1" applyBorder="1" applyAlignment="1">
      <alignment horizontal="center" vertical="center" wrapText="1"/>
    </xf>
    <xf numFmtId="165" fontId="8" fillId="3" borderId="3" xfId="2" applyNumberFormat="1" applyFont="1" applyFill="1" applyBorder="1" applyAlignment="1">
      <alignment horizontal="center" vertical="center" wrapText="1"/>
    </xf>
    <xf numFmtId="10" fontId="8" fillId="3" borderId="75" xfId="0" applyNumberFormat="1" applyFont="1" applyFill="1" applyBorder="1" applyAlignment="1">
      <alignment horizontal="center" vertical="center" wrapText="1"/>
    </xf>
    <xf numFmtId="10" fontId="8" fillId="3" borderId="78" xfId="0" applyNumberFormat="1" applyFont="1" applyFill="1" applyBorder="1" applyAlignment="1">
      <alignment horizontal="center" vertical="center" wrapText="1"/>
    </xf>
    <xf numFmtId="49" fontId="8" fillId="2" borderId="54" xfId="0" applyNumberFormat="1"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wrapText="1"/>
    </xf>
    <xf numFmtId="49" fontId="8" fillId="2" borderId="55" xfId="0" applyNumberFormat="1" applyFont="1" applyFill="1" applyBorder="1" applyAlignment="1">
      <alignment horizontal="center" vertical="center" wrapText="1"/>
    </xf>
    <xf numFmtId="49" fontId="8" fillId="2" borderId="56"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3" fontId="7" fillId="0" borderId="52"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0" fillId="4" borderId="52" xfId="0" applyNumberFormat="1" applyFont="1" applyFill="1" applyBorder="1" applyAlignment="1">
      <alignment horizontal="center" vertical="center"/>
    </xf>
    <xf numFmtId="3" fontId="10" fillId="4" borderId="1" xfId="0" applyNumberFormat="1" applyFont="1" applyFill="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10" fillId="0" borderId="52" xfId="0" applyFont="1" applyBorder="1" applyAlignment="1">
      <alignment horizontal="center" vertical="center"/>
    </xf>
    <xf numFmtId="0" fontId="10" fillId="0" borderId="1" xfId="0" applyFont="1" applyBorder="1" applyAlignment="1">
      <alignment horizontal="center" vertical="center"/>
    </xf>
    <xf numFmtId="0" fontId="7" fillId="0" borderId="52" xfId="0" applyFont="1" applyFill="1" applyBorder="1" applyAlignment="1">
      <alignment horizontal="center" vertical="center"/>
    </xf>
    <xf numFmtId="0" fontId="7" fillId="0" borderId="1"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1" xfId="0" applyFont="1" applyFill="1" applyBorder="1" applyAlignment="1">
      <alignment horizontal="center" vertical="center"/>
    </xf>
    <xf numFmtId="49" fontId="8" fillId="3" borderId="57"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49" fontId="8" fillId="3" borderId="58" xfId="0" applyNumberFormat="1" applyFont="1" applyFill="1" applyBorder="1" applyAlignment="1">
      <alignment horizontal="center" vertical="center" wrapText="1"/>
    </xf>
    <xf numFmtId="0" fontId="10" fillId="0" borderId="52" xfId="0" applyFont="1" applyFill="1" applyBorder="1" applyAlignment="1">
      <alignment horizontal="center" vertical="center"/>
    </xf>
    <xf numFmtId="0" fontId="10" fillId="0" borderId="1" xfId="0" applyFont="1" applyFill="1" applyBorder="1" applyAlignment="1">
      <alignment horizontal="center" vertical="center"/>
    </xf>
    <xf numFmtId="0" fontId="10" fillId="5" borderId="52" xfId="0" applyFont="1" applyFill="1" applyBorder="1" applyAlignment="1">
      <alignment horizontal="center" vertical="center"/>
    </xf>
    <xf numFmtId="0" fontId="10" fillId="5" borderId="1" xfId="0" applyFont="1" applyFill="1" applyBorder="1" applyAlignment="1">
      <alignment horizontal="center" vertical="center"/>
    </xf>
    <xf numFmtId="0" fontId="7" fillId="0" borderId="52" xfId="0" applyFont="1" applyBorder="1" applyAlignment="1">
      <alignment horizontal="center" vertical="center"/>
    </xf>
    <xf numFmtId="0" fontId="7" fillId="0" borderId="1" xfId="0" applyFont="1" applyBorder="1" applyAlignment="1">
      <alignment horizontal="center" vertical="center"/>
    </xf>
    <xf numFmtId="3" fontId="9" fillId="0" borderId="54" xfId="0" applyNumberFormat="1" applyFont="1" applyFill="1" applyBorder="1" applyAlignment="1">
      <alignment horizontal="center" vertical="center"/>
    </xf>
    <xf numFmtId="3" fontId="9" fillId="0" borderId="20" xfId="0" applyNumberFormat="1" applyFont="1" applyFill="1" applyBorder="1" applyAlignment="1">
      <alignment horizontal="center" vertical="center"/>
    </xf>
    <xf numFmtId="10" fontId="9" fillId="0" borderId="59" xfId="1" applyNumberFormat="1" applyFont="1" applyFill="1" applyBorder="1" applyAlignment="1">
      <alignment horizontal="center" vertical="center"/>
    </xf>
    <xf numFmtId="10" fontId="9" fillId="0" borderId="60" xfId="1" applyNumberFormat="1" applyFont="1" applyFill="1" applyBorder="1" applyAlignment="1">
      <alignment horizontal="center" vertical="center"/>
    </xf>
    <xf numFmtId="49" fontId="8" fillId="3" borderId="73" xfId="0" applyNumberFormat="1" applyFont="1" applyFill="1" applyBorder="1" applyAlignment="1">
      <alignment horizontal="center" vertical="center" wrapText="1"/>
    </xf>
    <xf numFmtId="49" fontId="8" fillId="3" borderId="74" xfId="0" applyNumberFormat="1" applyFont="1" applyFill="1" applyBorder="1" applyAlignment="1">
      <alignment horizontal="center" vertical="center" wrapText="1"/>
    </xf>
    <xf numFmtId="49" fontId="8" fillId="3" borderId="33" xfId="0" applyNumberFormat="1" applyFont="1" applyFill="1" applyBorder="1" applyAlignment="1">
      <alignment horizontal="center" vertical="center" wrapText="1"/>
    </xf>
    <xf numFmtId="10" fontId="8" fillId="3" borderId="77" xfId="0" applyNumberFormat="1" applyFont="1" applyFill="1" applyBorder="1" applyAlignment="1">
      <alignment horizontal="center" vertical="center" wrapText="1"/>
    </xf>
    <xf numFmtId="0" fontId="7" fillId="0" borderId="52" xfId="0" applyFont="1" applyBorder="1" applyAlignment="1">
      <alignment horizontal="center" vertical="center" wrapText="1"/>
    </xf>
    <xf numFmtId="0" fontId="10" fillId="4" borderId="52" xfId="0" applyFont="1" applyFill="1" applyBorder="1" applyAlignment="1">
      <alignment horizontal="center" vertical="center"/>
    </xf>
    <xf numFmtId="0" fontId="10" fillId="4" borderId="1" xfId="0" applyFont="1" applyFill="1" applyBorder="1" applyAlignment="1">
      <alignment horizontal="center" vertical="center"/>
    </xf>
    <xf numFmtId="3" fontId="5" fillId="0" borderId="54" xfId="0" applyNumberFormat="1" applyFont="1" applyFill="1" applyBorder="1" applyAlignment="1">
      <alignment horizontal="center" vertical="center"/>
    </xf>
    <xf numFmtId="3" fontId="5" fillId="0" borderId="20" xfId="0" applyNumberFormat="1" applyFont="1" applyFill="1" applyBorder="1" applyAlignment="1">
      <alignment horizontal="center" vertical="center"/>
    </xf>
    <xf numFmtId="10" fontId="8" fillId="3" borderId="4" xfId="0" applyNumberFormat="1" applyFont="1" applyFill="1" applyBorder="1" applyAlignment="1">
      <alignment horizontal="center" vertical="center" wrapText="1"/>
    </xf>
    <xf numFmtId="10" fontId="8" fillId="3" borderId="22"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165" fontId="8" fillId="3" borderId="4" xfId="2" applyNumberFormat="1" applyFont="1" applyFill="1" applyBorder="1" applyAlignment="1">
      <alignment horizontal="center" vertical="center" wrapText="1"/>
    </xf>
    <xf numFmtId="165" fontId="8" fillId="3" borderId="1" xfId="2" applyNumberFormat="1" applyFont="1" applyFill="1" applyBorder="1" applyAlignment="1">
      <alignment horizontal="center" vertical="center" wrapText="1"/>
    </xf>
    <xf numFmtId="0" fontId="8" fillId="3" borderId="22" xfId="0" applyFont="1" applyFill="1" applyBorder="1" applyAlignment="1">
      <alignment horizontal="center" vertical="center" wrapText="1"/>
    </xf>
    <xf numFmtId="165" fontId="8" fillId="3" borderId="22" xfId="2" applyNumberFormat="1" applyFont="1" applyFill="1" applyBorder="1" applyAlignment="1">
      <alignment horizontal="center" vertical="center" wrapText="1"/>
    </xf>
    <xf numFmtId="49" fontId="8" fillId="3" borderId="54" xfId="0" applyNumberFormat="1" applyFont="1" applyFill="1" applyBorder="1" applyAlignment="1">
      <alignment horizontal="center" vertical="center" wrapText="1"/>
    </xf>
    <xf numFmtId="49" fontId="8" fillId="3" borderId="91" xfId="0" applyNumberFormat="1" applyFont="1" applyFill="1" applyBorder="1" applyAlignment="1">
      <alignment horizontal="center" vertical="center" wrapText="1"/>
    </xf>
    <xf numFmtId="49" fontId="8" fillId="3" borderId="55" xfId="0" applyNumberFormat="1" applyFont="1" applyFill="1" applyBorder="1" applyAlignment="1">
      <alignment horizontal="center" vertical="center" wrapText="1"/>
    </xf>
    <xf numFmtId="49" fontId="8" fillId="3" borderId="90" xfId="0" applyNumberFormat="1" applyFont="1" applyFill="1" applyBorder="1" applyAlignment="1">
      <alignment horizontal="center" vertical="center" wrapText="1"/>
    </xf>
    <xf numFmtId="0" fontId="9" fillId="3" borderId="52" xfId="0" applyNumberFormat="1"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7" fillId="0" borderId="3" xfId="0" applyFont="1" applyBorder="1" applyAlignment="1">
      <alignment horizontal="center" vertical="center"/>
    </xf>
    <xf numFmtId="0" fontId="10" fillId="0" borderId="3"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Fill="1" applyBorder="1" applyAlignment="1">
      <alignment horizontal="center" vertical="center"/>
    </xf>
    <xf numFmtId="10" fontId="9" fillId="0" borderId="92" xfId="1" applyNumberFormat="1" applyFont="1" applyFill="1" applyBorder="1" applyAlignment="1">
      <alignment horizontal="center" vertical="center"/>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95" xfId="0" applyFont="1" applyBorder="1" applyAlignment="1">
      <alignment horizontal="center" vertical="center" wrapText="1"/>
    </xf>
    <xf numFmtId="0" fontId="7" fillId="5" borderId="3" xfId="0" applyFont="1" applyFill="1" applyBorder="1" applyAlignment="1">
      <alignment horizontal="center" vertical="center"/>
    </xf>
    <xf numFmtId="49" fontId="8" fillId="3"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5" borderId="3" xfId="0" applyFont="1" applyFill="1" applyBorder="1" applyAlignment="1">
      <alignment horizontal="center" vertical="center"/>
    </xf>
    <xf numFmtId="2" fontId="9" fillId="0" borderId="54" xfId="0" applyNumberFormat="1" applyFont="1" applyFill="1" applyBorder="1" applyAlignment="1">
      <alignment horizontal="center" vertical="center"/>
    </xf>
    <xf numFmtId="2" fontId="9" fillId="0" borderId="91" xfId="0" applyNumberFormat="1" applyFont="1" applyFill="1" applyBorder="1" applyAlignment="1">
      <alignment horizontal="center" vertical="center"/>
    </xf>
    <xf numFmtId="0" fontId="17" fillId="0" borderId="36" xfId="0" applyFont="1" applyBorder="1" applyAlignment="1">
      <alignment horizontal="center" vertical="center" wrapText="1"/>
    </xf>
    <xf numFmtId="0" fontId="17" fillId="0" borderId="42" xfId="0" applyFont="1" applyBorder="1" applyAlignment="1">
      <alignment horizontal="center" vertical="center" wrapText="1"/>
    </xf>
    <xf numFmtId="0" fontId="5" fillId="0" borderId="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5" fillId="0" borderId="30" xfId="0" applyFont="1" applyFill="1" applyBorder="1" applyAlignment="1">
      <alignment horizontal="center" vertical="center" wrapText="1"/>
    </xf>
    <xf numFmtId="165" fontId="5" fillId="0" borderId="34" xfId="2" applyNumberFormat="1" applyFont="1" applyFill="1" applyBorder="1" applyAlignment="1">
      <alignment horizontal="center" vertical="center" wrapText="1"/>
    </xf>
    <xf numFmtId="9" fontId="5" fillId="0" borderId="3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5" fillId="0" borderId="31" xfId="0" applyFont="1" applyFill="1" applyBorder="1" applyAlignment="1">
      <alignment horizontal="center" vertical="center" wrapText="1"/>
    </xf>
    <xf numFmtId="165" fontId="5" fillId="0" borderId="35" xfId="2" applyNumberFormat="1" applyFont="1" applyFill="1" applyBorder="1" applyAlignment="1">
      <alignment horizontal="center" vertical="center" wrapText="1"/>
    </xf>
    <xf numFmtId="9" fontId="5" fillId="0" borderId="35" xfId="0" applyNumberFormat="1"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9"/>
  <sheetViews>
    <sheetView tabSelected="1" topLeftCell="AR1" zoomScale="50" zoomScaleNormal="50" workbookViewId="0">
      <pane ySplit="4" topLeftCell="A5" activePane="bottomLeft" state="frozen"/>
      <selection activeCell="A3" sqref="A3"/>
      <selection pane="bottomLeft" activeCell="A3" sqref="A3:BC4"/>
    </sheetView>
  </sheetViews>
  <sheetFormatPr baseColWidth="10" defaultRowHeight="20.25" x14ac:dyDescent="0.25"/>
  <cols>
    <col min="1" max="1" width="22.140625" style="4" bestFit="1" customWidth="1"/>
    <col min="2" max="2" width="35" style="4" bestFit="1" customWidth="1"/>
    <col min="3" max="4" width="45.5703125" style="4" bestFit="1" customWidth="1"/>
    <col min="5" max="5" width="38.85546875" style="4" customWidth="1"/>
    <col min="6" max="6" width="23.5703125" style="4" customWidth="1"/>
    <col min="7" max="7" width="34.28515625" style="4" customWidth="1"/>
    <col min="8" max="8" width="32.7109375" style="4" customWidth="1"/>
    <col min="9" max="9" width="25.28515625" style="4" customWidth="1"/>
    <col min="10" max="10" width="28.7109375" style="4" customWidth="1"/>
    <col min="11" max="11" width="21.7109375" style="4" customWidth="1"/>
    <col min="12" max="12" width="21.140625" style="15" customWidth="1"/>
    <col min="13" max="13" width="21.85546875" style="45" customWidth="1"/>
    <col min="14" max="14" width="27.42578125" style="4" hidden="1" customWidth="1"/>
    <col min="15" max="15" width="25.42578125" style="4" hidden="1" customWidth="1"/>
    <col min="16" max="16" width="24" style="4" customWidth="1"/>
    <col min="17" max="17" width="30.42578125" style="4" hidden="1" customWidth="1"/>
    <col min="18" max="18" width="21" style="4" customWidth="1"/>
    <col min="19" max="19" width="22.85546875" style="4" customWidth="1"/>
    <col min="20" max="20" width="22.85546875" style="42" customWidth="1"/>
    <col min="21" max="21" width="22.140625" style="4" customWidth="1"/>
    <col min="22" max="22" width="27" style="4" customWidth="1"/>
    <col min="23" max="23" width="28.42578125" style="107" customWidth="1"/>
    <col min="24" max="24" width="27.85546875" style="4" customWidth="1"/>
    <col min="25" max="25" width="30.7109375" style="4" customWidth="1"/>
    <col min="26" max="26" width="29.140625" style="4" customWidth="1"/>
    <col min="27" max="27" width="25.7109375" style="45" customWidth="1"/>
    <col min="28" max="28" width="25.140625" style="45" customWidth="1"/>
    <col min="29" max="29" width="23.5703125" style="46" customWidth="1"/>
    <col min="30" max="30" width="26.7109375" style="45" customWidth="1"/>
    <col min="31" max="31" width="32.7109375" style="4" bestFit="1" customWidth="1"/>
    <col min="32" max="32" width="31.5703125" style="4" customWidth="1"/>
    <col min="33" max="33" width="23.42578125" style="4" hidden="1" customWidth="1"/>
    <col min="34" max="34" width="27.7109375" style="4" hidden="1" customWidth="1"/>
    <col min="35" max="35" width="29.5703125" style="4" customWidth="1"/>
    <col min="36" max="36" width="33.5703125" style="4" customWidth="1"/>
    <col min="37" max="37" width="31.5703125" style="4" customWidth="1"/>
    <col min="38" max="38" width="27.5703125" style="4" customWidth="1"/>
    <col min="39" max="39" width="30.42578125" style="4" customWidth="1"/>
    <col min="40" max="40" width="27.85546875" style="4" customWidth="1"/>
    <col min="41" max="41" width="37.42578125" style="4" customWidth="1"/>
    <col min="42" max="42" width="36" style="4" customWidth="1"/>
    <col min="43" max="43" width="22.7109375" style="4" customWidth="1"/>
    <col min="44" max="46" width="24.140625" style="4" customWidth="1"/>
    <col min="47" max="47" width="25.5703125" style="53" customWidth="1"/>
    <col min="48" max="48" width="26.140625" style="53" customWidth="1"/>
    <col min="49" max="49" width="29.42578125" style="56" bestFit="1" customWidth="1"/>
    <col min="50" max="50" width="67.28515625" style="4" hidden="1" customWidth="1"/>
    <col min="51" max="51" width="56.42578125" style="4" hidden="1" customWidth="1"/>
    <col min="52" max="52" width="65" style="33" hidden="1" customWidth="1"/>
    <col min="53" max="53" width="59" style="4" hidden="1" customWidth="1"/>
    <col min="54" max="54" width="19.28515625" style="30" customWidth="1"/>
    <col min="55" max="55" width="117.85546875" style="4" customWidth="1"/>
    <col min="56" max="56" width="7.5703125" style="30" bestFit="1" customWidth="1"/>
    <col min="57" max="16384" width="11.42578125" style="30"/>
  </cols>
  <sheetData>
    <row r="1" spans="1:57" ht="26.25" x14ac:dyDescent="0.25">
      <c r="A1" s="194" t="s">
        <v>217</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C1" s="30"/>
    </row>
    <row r="2" spans="1:57" ht="27" thickBot="1" x14ac:dyDescent="0.3">
      <c r="A2" s="194" t="s">
        <v>158</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C2" s="30"/>
    </row>
    <row r="3" spans="1:57" s="32" customFormat="1" ht="33" customHeight="1" thickBot="1" x14ac:dyDescent="0.3">
      <c r="A3" s="164" t="s">
        <v>20</v>
      </c>
      <c r="B3" s="130" t="s">
        <v>19</v>
      </c>
      <c r="C3" s="130" t="s">
        <v>18</v>
      </c>
      <c r="D3" s="166" t="s">
        <v>17</v>
      </c>
      <c r="E3" s="130" t="s">
        <v>16</v>
      </c>
      <c r="F3" s="168" t="s">
        <v>122</v>
      </c>
      <c r="G3" s="130" t="s">
        <v>123</v>
      </c>
      <c r="H3" s="124" t="s">
        <v>124</v>
      </c>
      <c r="I3" s="130" t="s">
        <v>15</v>
      </c>
      <c r="J3" s="130" t="s">
        <v>14</v>
      </c>
      <c r="K3" s="166" t="s">
        <v>125</v>
      </c>
      <c r="L3" s="168" t="s">
        <v>126</v>
      </c>
      <c r="M3" s="168" t="s">
        <v>127</v>
      </c>
      <c r="N3" s="280" t="s">
        <v>13</v>
      </c>
      <c r="O3" s="280" t="s">
        <v>12</v>
      </c>
      <c r="P3" s="168" t="s">
        <v>11</v>
      </c>
      <c r="Q3" s="280" t="s">
        <v>10</v>
      </c>
      <c r="R3" s="170" t="s">
        <v>199</v>
      </c>
      <c r="S3" s="130" t="s">
        <v>128</v>
      </c>
      <c r="T3" s="130" t="s">
        <v>129</v>
      </c>
      <c r="U3" s="174" t="s">
        <v>130</v>
      </c>
      <c r="V3" s="168" t="s">
        <v>138</v>
      </c>
      <c r="W3" s="281" t="s">
        <v>131</v>
      </c>
      <c r="X3" s="168" t="s">
        <v>229</v>
      </c>
      <c r="Y3" s="168" t="s">
        <v>230</v>
      </c>
      <c r="Z3" s="170" t="s">
        <v>9</v>
      </c>
      <c r="AA3" s="130" t="s">
        <v>132</v>
      </c>
      <c r="AB3" s="166" t="s">
        <v>133</v>
      </c>
      <c r="AC3" s="130" t="s">
        <v>134</v>
      </c>
      <c r="AD3" s="172" t="s">
        <v>135</v>
      </c>
      <c r="AE3" s="168" t="s">
        <v>136</v>
      </c>
      <c r="AF3" s="195" t="s">
        <v>8</v>
      </c>
      <c r="AG3" s="196"/>
      <c r="AH3" s="196"/>
      <c r="AI3" s="197"/>
      <c r="AJ3" s="125" t="s">
        <v>115</v>
      </c>
      <c r="AK3" s="168" t="s">
        <v>116</v>
      </c>
      <c r="AL3" s="282" t="s">
        <v>161</v>
      </c>
      <c r="AM3" s="130" t="s">
        <v>7</v>
      </c>
      <c r="AN3" s="166" t="s">
        <v>6</v>
      </c>
      <c r="AO3" s="195" t="s">
        <v>5</v>
      </c>
      <c r="AP3" s="196"/>
      <c r="AQ3" s="196"/>
      <c r="AR3" s="197"/>
      <c r="AS3" s="168" t="s">
        <v>3</v>
      </c>
      <c r="AT3" s="168" t="s">
        <v>2</v>
      </c>
      <c r="AU3" s="283" t="s">
        <v>117</v>
      </c>
      <c r="AV3" s="283" t="s">
        <v>118</v>
      </c>
      <c r="AW3" s="284" t="s">
        <v>222</v>
      </c>
      <c r="AX3" s="130" t="s">
        <v>21</v>
      </c>
      <c r="AY3" s="130" t="s">
        <v>22</v>
      </c>
      <c r="AZ3" s="124" t="s">
        <v>23</v>
      </c>
      <c r="BA3" s="125"/>
      <c r="BB3" s="126"/>
      <c r="BC3" s="130" t="s">
        <v>24</v>
      </c>
    </row>
    <row r="4" spans="1:57" s="32" customFormat="1" ht="90.75" customHeight="1" thickBot="1" x14ac:dyDescent="0.3">
      <c r="A4" s="165"/>
      <c r="B4" s="131"/>
      <c r="C4" s="131"/>
      <c r="D4" s="167"/>
      <c r="E4" s="131"/>
      <c r="F4" s="169"/>
      <c r="G4" s="131"/>
      <c r="H4" s="127"/>
      <c r="I4" s="131"/>
      <c r="J4" s="131"/>
      <c r="K4" s="167"/>
      <c r="L4" s="169"/>
      <c r="M4" s="169"/>
      <c r="N4" s="285"/>
      <c r="O4" s="285"/>
      <c r="P4" s="169"/>
      <c r="Q4" s="285"/>
      <c r="R4" s="171"/>
      <c r="S4" s="131"/>
      <c r="T4" s="131"/>
      <c r="U4" s="175"/>
      <c r="V4" s="169"/>
      <c r="W4" s="286"/>
      <c r="X4" s="169"/>
      <c r="Y4" s="169"/>
      <c r="Z4" s="171"/>
      <c r="AA4" s="131"/>
      <c r="AB4" s="167"/>
      <c r="AC4" s="131"/>
      <c r="AD4" s="173"/>
      <c r="AE4" s="169"/>
      <c r="AF4" s="3" t="s">
        <v>4</v>
      </c>
      <c r="AG4" s="3" t="s">
        <v>140</v>
      </c>
      <c r="AH4" s="3" t="s">
        <v>141</v>
      </c>
      <c r="AI4" s="3" t="s">
        <v>137</v>
      </c>
      <c r="AJ4" s="128"/>
      <c r="AK4" s="169"/>
      <c r="AL4" s="287"/>
      <c r="AM4" s="131"/>
      <c r="AN4" s="167"/>
      <c r="AO4" s="3" t="s">
        <v>3</v>
      </c>
      <c r="AP4" s="102" t="s">
        <v>2</v>
      </c>
      <c r="AQ4" s="3" t="s">
        <v>1</v>
      </c>
      <c r="AR4" s="3" t="s">
        <v>0</v>
      </c>
      <c r="AS4" s="169"/>
      <c r="AT4" s="169"/>
      <c r="AU4" s="288"/>
      <c r="AV4" s="288"/>
      <c r="AW4" s="289"/>
      <c r="AX4" s="131"/>
      <c r="AY4" s="131"/>
      <c r="AZ4" s="127"/>
      <c r="BA4" s="128"/>
      <c r="BB4" s="129"/>
      <c r="BC4" s="131"/>
    </row>
    <row r="5" spans="1:57" ht="184.5" customHeight="1" x14ac:dyDescent="0.25">
      <c r="A5" s="135" t="s">
        <v>25</v>
      </c>
      <c r="B5" s="139" t="s">
        <v>26</v>
      </c>
      <c r="C5" s="143" t="s">
        <v>27</v>
      </c>
      <c r="D5" s="147" t="s">
        <v>27</v>
      </c>
      <c r="E5" s="147" t="s">
        <v>28</v>
      </c>
      <c r="F5" s="163">
        <v>0.08</v>
      </c>
      <c r="G5" s="160"/>
      <c r="H5" s="160"/>
      <c r="I5" s="155" t="s">
        <v>29</v>
      </c>
      <c r="J5" s="29" t="s">
        <v>38</v>
      </c>
      <c r="K5" s="5">
        <v>18431</v>
      </c>
      <c r="L5" s="158" t="s">
        <v>142</v>
      </c>
      <c r="M5" s="103">
        <f>15194 +336</f>
        <v>15530</v>
      </c>
      <c r="N5" s="7">
        <v>3840</v>
      </c>
      <c r="O5" s="7">
        <v>4459</v>
      </c>
      <c r="P5" s="7">
        <v>5066</v>
      </c>
      <c r="Q5" s="7">
        <v>5066</v>
      </c>
      <c r="R5" s="8">
        <v>0</v>
      </c>
      <c r="S5" s="8">
        <v>0</v>
      </c>
      <c r="T5" s="41">
        <v>266</v>
      </c>
      <c r="U5" s="39">
        <v>1998</v>
      </c>
      <c r="V5" s="10">
        <f>(+R5+S5+T5+U5)/P5</f>
        <v>0.44690090801421239</v>
      </c>
      <c r="W5" s="105">
        <f>+M5+R5+S5+T5+U5</f>
        <v>17794</v>
      </c>
      <c r="X5" s="10">
        <f>+W5/K5</f>
        <v>0.96543866312191418</v>
      </c>
      <c r="Y5" s="112">
        <f>AVERAGE(X5:X7)</f>
        <v>0.98847955437397139</v>
      </c>
      <c r="Z5" s="152" t="s">
        <v>60</v>
      </c>
      <c r="AA5" s="8">
        <v>0</v>
      </c>
      <c r="AB5" s="8">
        <v>0</v>
      </c>
      <c r="AC5" s="43">
        <v>266</v>
      </c>
      <c r="AD5" s="44">
        <v>1998</v>
      </c>
      <c r="AE5" s="9">
        <f>+AA5+AB5+AC5+AD5</f>
        <v>2264</v>
      </c>
      <c r="AF5" s="11" t="s">
        <v>70</v>
      </c>
      <c r="AG5" s="6">
        <f>15194</f>
        <v>15194</v>
      </c>
      <c r="AH5" s="6">
        <v>336</v>
      </c>
      <c r="AI5" s="12">
        <f>18431-(15194+336)</f>
        <v>2901</v>
      </c>
      <c r="AJ5" s="26">
        <f>+(AE5/AI5)</f>
        <v>0.78042054463977939</v>
      </c>
      <c r="AK5" s="176">
        <f>+(AJ5+AJ7)/2</f>
        <v>0.89021027231988969</v>
      </c>
      <c r="AL5" s="190">
        <f>AVERAGE(AK5:AK29)</f>
        <v>0.7124941885347964</v>
      </c>
      <c r="AM5" s="27" t="s">
        <v>92</v>
      </c>
      <c r="AN5" s="193" t="s">
        <v>162</v>
      </c>
      <c r="AO5" s="118" t="s">
        <v>95</v>
      </c>
      <c r="AP5" s="118" t="s">
        <v>95</v>
      </c>
      <c r="AQ5" s="118" t="s">
        <v>94</v>
      </c>
      <c r="AR5" s="120" t="s">
        <v>94</v>
      </c>
      <c r="AS5" s="63" t="s">
        <v>202</v>
      </c>
      <c r="AT5" s="64" t="s">
        <v>201</v>
      </c>
      <c r="AU5" s="66">
        <v>39000000</v>
      </c>
      <c r="AV5" s="66">
        <v>37400000</v>
      </c>
      <c r="AW5" s="198">
        <f>+((AV5+AV6)/(AU5+AU6))</f>
        <v>0.97415687591240874</v>
      </c>
      <c r="AX5" s="133" t="s">
        <v>97</v>
      </c>
      <c r="AY5" s="19" t="s">
        <v>159</v>
      </c>
      <c r="AZ5" s="38" t="s">
        <v>163</v>
      </c>
      <c r="BA5" s="132"/>
      <c r="BB5" s="122" t="s">
        <v>172</v>
      </c>
      <c r="BC5" s="83" t="s">
        <v>200</v>
      </c>
    </row>
    <row r="6" spans="1:57" ht="82.5" customHeight="1" x14ac:dyDescent="0.25">
      <c r="A6" s="136"/>
      <c r="B6" s="140"/>
      <c r="C6" s="144"/>
      <c r="D6" s="144"/>
      <c r="E6" s="144"/>
      <c r="F6" s="161"/>
      <c r="G6" s="161"/>
      <c r="H6" s="161"/>
      <c r="I6" s="156"/>
      <c r="J6" s="13" t="s">
        <v>39</v>
      </c>
      <c r="K6" s="14">
        <v>2000</v>
      </c>
      <c r="L6" s="159"/>
      <c r="M6" s="103">
        <f>1929+100</f>
        <v>2029</v>
      </c>
      <c r="N6" s="7">
        <v>416</v>
      </c>
      <c r="O6" s="7">
        <v>484</v>
      </c>
      <c r="P6" s="7">
        <v>550</v>
      </c>
      <c r="Q6" s="7">
        <v>550</v>
      </c>
      <c r="R6" s="8">
        <v>0</v>
      </c>
      <c r="S6" s="8">
        <v>0</v>
      </c>
      <c r="T6" s="41">
        <v>42</v>
      </c>
      <c r="U6" s="39">
        <v>8</v>
      </c>
      <c r="V6" s="31">
        <f t="shared" ref="V6:V28" si="0">(+R6+S6+T6+U6)/P6</f>
        <v>9.0909090909090912E-2</v>
      </c>
      <c r="W6" s="106">
        <f t="shared" ref="W6:W28" si="1">+M6+R6+S6+T6+U6</f>
        <v>2079</v>
      </c>
      <c r="X6" s="31">
        <v>1</v>
      </c>
      <c r="Y6" s="116"/>
      <c r="Z6" s="153"/>
      <c r="AA6" s="8">
        <v>0</v>
      </c>
      <c r="AB6" s="8">
        <v>0</v>
      </c>
      <c r="AC6" s="43">
        <v>42</v>
      </c>
      <c r="AD6" s="44">
        <v>8</v>
      </c>
      <c r="AE6" s="9">
        <f t="shared" ref="AE6:AE28" si="2">+AA6+AB6+AC6+AD6</f>
        <v>50</v>
      </c>
      <c r="AF6" s="16" t="s">
        <v>71</v>
      </c>
      <c r="AG6" s="6">
        <f>1929</f>
        <v>1929</v>
      </c>
      <c r="AH6" s="6">
        <v>100</v>
      </c>
      <c r="AI6" s="17">
        <v>0</v>
      </c>
      <c r="AJ6" s="26">
        <v>0</v>
      </c>
      <c r="AK6" s="177"/>
      <c r="AL6" s="191"/>
      <c r="AM6" s="27" t="s">
        <v>92</v>
      </c>
      <c r="AN6" s="183"/>
      <c r="AO6" s="119"/>
      <c r="AP6" s="119"/>
      <c r="AQ6" s="119"/>
      <c r="AR6" s="121"/>
      <c r="AS6" s="201" t="s">
        <v>204</v>
      </c>
      <c r="AT6" s="203" t="s">
        <v>203</v>
      </c>
      <c r="AU6" s="205">
        <v>29500000</v>
      </c>
      <c r="AV6" s="205">
        <v>29329746</v>
      </c>
      <c r="AW6" s="199"/>
      <c r="AX6" s="133"/>
      <c r="AY6" s="19"/>
      <c r="AZ6" s="19" t="s">
        <v>164</v>
      </c>
      <c r="BA6" s="132"/>
      <c r="BB6" s="122"/>
      <c r="BC6" s="84" t="s">
        <v>181</v>
      </c>
    </row>
    <row r="7" spans="1:57" ht="98.25" customHeight="1" thickBot="1" x14ac:dyDescent="0.3">
      <c r="A7" s="136"/>
      <c r="B7" s="140"/>
      <c r="C7" s="144"/>
      <c r="D7" s="144"/>
      <c r="E7" s="144"/>
      <c r="F7" s="161"/>
      <c r="G7" s="161"/>
      <c r="H7" s="161"/>
      <c r="I7" s="157"/>
      <c r="J7" s="13" t="s">
        <v>40</v>
      </c>
      <c r="K7" s="14">
        <v>5</v>
      </c>
      <c r="L7" s="28" t="s">
        <v>143</v>
      </c>
      <c r="M7" s="55">
        <f>1+0</f>
        <v>1</v>
      </c>
      <c r="N7" s="7">
        <v>1</v>
      </c>
      <c r="O7" s="7">
        <v>1</v>
      </c>
      <c r="P7" s="7">
        <v>2</v>
      </c>
      <c r="Q7" s="7">
        <v>1</v>
      </c>
      <c r="R7" s="8">
        <v>0</v>
      </c>
      <c r="S7" s="8">
        <v>0</v>
      </c>
      <c r="T7" s="41">
        <v>2</v>
      </c>
      <c r="U7" s="39">
        <v>2</v>
      </c>
      <c r="V7" s="31">
        <f t="shared" si="0"/>
        <v>2</v>
      </c>
      <c r="W7" s="106">
        <f t="shared" si="1"/>
        <v>5</v>
      </c>
      <c r="X7" s="31">
        <f t="shared" ref="X7:X29" si="3">+W7/K7</f>
        <v>1</v>
      </c>
      <c r="Y7" s="116"/>
      <c r="Z7" s="153"/>
      <c r="AA7" s="8">
        <v>0</v>
      </c>
      <c r="AB7" s="8">
        <v>0</v>
      </c>
      <c r="AC7" s="43">
        <v>2</v>
      </c>
      <c r="AD7" s="44">
        <v>2</v>
      </c>
      <c r="AE7" s="9">
        <f t="shared" si="2"/>
        <v>4</v>
      </c>
      <c r="AF7" s="16" t="s">
        <v>113</v>
      </c>
      <c r="AG7" s="9">
        <f>1+0</f>
        <v>1</v>
      </c>
      <c r="AH7" s="9">
        <v>1</v>
      </c>
      <c r="AI7" s="17">
        <v>2</v>
      </c>
      <c r="AJ7" s="26">
        <v>1</v>
      </c>
      <c r="AK7" s="178"/>
      <c r="AL7" s="191"/>
      <c r="AM7" s="27" t="s">
        <v>92</v>
      </c>
      <c r="AN7" s="184"/>
      <c r="AO7" s="119"/>
      <c r="AP7" s="119"/>
      <c r="AQ7" s="119"/>
      <c r="AR7" s="121"/>
      <c r="AS7" s="202"/>
      <c r="AT7" s="204"/>
      <c r="AU7" s="206"/>
      <c r="AV7" s="206"/>
      <c r="AW7" s="200"/>
      <c r="AX7" s="134"/>
      <c r="AY7" s="19"/>
      <c r="AZ7" s="19" t="s">
        <v>165</v>
      </c>
      <c r="BA7" s="132"/>
      <c r="BB7" s="122"/>
      <c r="BC7" s="84" t="s">
        <v>182</v>
      </c>
    </row>
    <row r="8" spans="1:57" ht="236.25" customHeight="1" x14ac:dyDescent="0.25">
      <c r="A8" s="136"/>
      <c r="B8" s="140"/>
      <c r="C8" s="144"/>
      <c r="D8" s="144"/>
      <c r="E8" s="144"/>
      <c r="F8" s="161"/>
      <c r="G8" s="161"/>
      <c r="H8" s="161"/>
      <c r="I8" s="148" t="s">
        <v>30</v>
      </c>
      <c r="J8" s="13" t="s">
        <v>41</v>
      </c>
      <c r="K8" s="14">
        <v>11520</v>
      </c>
      <c r="L8" s="2">
        <v>10857</v>
      </c>
      <c r="M8" s="103">
        <f>2621+333</f>
        <v>2954</v>
      </c>
      <c r="N8" s="7">
        <v>2400</v>
      </c>
      <c r="O8" s="7">
        <v>2786</v>
      </c>
      <c r="P8" s="7">
        <v>3167</v>
      </c>
      <c r="Q8" s="7">
        <v>3167</v>
      </c>
      <c r="R8" s="8">
        <v>0</v>
      </c>
      <c r="S8" s="8">
        <v>0</v>
      </c>
      <c r="T8" s="41">
        <v>734</v>
      </c>
      <c r="U8" s="39">
        <v>1393</v>
      </c>
      <c r="V8" s="31">
        <f t="shared" si="0"/>
        <v>0.67161351436690875</v>
      </c>
      <c r="W8" s="106">
        <f t="shared" si="1"/>
        <v>5081</v>
      </c>
      <c r="X8" s="31">
        <f t="shared" si="3"/>
        <v>0.44105902777777778</v>
      </c>
      <c r="Y8" s="116">
        <f>AVERAGE(X8:X9)</f>
        <v>0.72052951388888886</v>
      </c>
      <c r="Z8" s="154" t="s">
        <v>61</v>
      </c>
      <c r="AA8" s="8">
        <v>0</v>
      </c>
      <c r="AB8" s="8">
        <v>0</v>
      </c>
      <c r="AC8" s="43">
        <v>734</v>
      </c>
      <c r="AD8" s="44">
        <v>1393</v>
      </c>
      <c r="AE8" s="9">
        <f t="shared" si="2"/>
        <v>2127</v>
      </c>
      <c r="AF8" s="16" t="s">
        <v>72</v>
      </c>
      <c r="AG8" s="6">
        <f>2621</f>
        <v>2621</v>
      </c>
      <c r="AH8" s="18">
        <v>333</v>
      </c>
      <c r="AI8" s="17">
        <f>(2786-(2621-2400)-333)+P8</f>
        <v>5399</v>
      </c>
      <c r="AJ8" s="26">
        <f t="shared" ref="AJ8:AJ28" si="4">+(AE8/AI8)</f>
        <v>0.39396184478607149</v>
      </c>
      <c r="AK8" s="176">
        <f>AVERAGE(AJ8:AJ9)</f>
        <v>0.69698092239303577</v>
      </c>
      <c r="AL8" s="191"/>
      <c r="AM8" s="27" t="s">
        <v>92</v>
      </c>
      <c r="AN8" s="182" t="s">
        <v>162</v>
      </c>
      <c r="AO8" s="118" t="s">
        <v>95</v>
      </c>
      <c r="AP8" s="118" t="s">
        <v>95</v>
      </c>
      <c r="AQ8" s="118" t="s">
        <v>94</v>
      </c>
      <c r="AR8" s="120" t="s">
        <v>94</v>
      </c>
      <c r="AS8" s="63" t="s">
        <v>205</v>
      </c>
      <c r="AT8" s="64" t="s">
        <v>201</v>
      </c>
      <c r="AU8" s="66">
        <v>18000000</v>
      </c>
      <c r="AV8" s="66">
        <v>18000000</v>
      </c>
      <c r="AW8" s="207">
        <f>+((AV8+AV9)/(AU8+AU9))</f>
        <v>0.98947368421052628</v>
      </c>
      <c r="AX8" s="58" t="s">
        <v>99</v>
      </c>
      <c r="AY8" s="19" t="s">
        <v>159</v>
      </c>
      <c r="AZ8" s="19" t="s">
        <v>173</v>
      </c>
      <c r="BA8" s="30"/>
      <c r="BB8" s="122"/>
      <c r="BC8" s="84" t="s">
        <v>183</v>
      </c>
    </row>
    <row r="9" spans="1:57" ht="372.75" customHeight="1" thickBot="1" x14ac:dyDescent="0.3">
      <c r="A9" s="136"/>
      <c r="B9" s="140"/>
      <c r="C9" s="144"/>
      <c r="D9" s="144"/>
      <c r="E9" s="144"/>
      <c r="F9" s="161"/>
      <c r="G9" s="161"/>
      <c r="H9" s="161"/>
      <c r="I9" s="149"/>
      <c r="J9" s="13" t="s">
        <v>42</v>
      </c>
      <c r="K9" s="14">
        <v>2000</v>
      </c>
      <c r="L9" s="1" t="s">
        <v>144</v>
      </c>
      <c r="M9" s="103">
        <f>250+925</f>
        <v>1175</v>
      </c>
      <c r="N9" s="7">
        <v>250</v>
      </c>
      <c r="O9" s="7">
        <v>650</v>
      </c>
      <c r="P9" s="7">
        <v>550</v>
      </c>
      <c r="Q9" s="7">
        <v>550</v>
      </c>
      <c r="R9" s="8">
        <v>0</v>
      </c>
      <c r="S9" s="8">
        <v>0</v>
      </c>
      <c r="T9" s="41">
        <v>275</v>
      </c>
      <c r="U9" s="39">
        <v>1646</v>
      </c>
      <c r="V9" s="31">
        <f t="shared" si="0"/>
        <v>3.4927272727272727</v>
      </c>
      <c r="W9" s="106">
        <f t="shared" si="1"/>
        <v>3096</v>
      </c>
      <c r="X9" s="31">
        <v>1</v>
      </c>
      <c r="Y9" s="116"/>
      <c r="Z9" s="153"/>
      <c r="AA9" s="8">
        <v>0</v>
      </c>
      <c r="AB9" s="8">
        <v>0</v>
      </c>
      <c r="AC9" s="43">
        <v>275</v>
      </c>
      <c r="AD9" s="44">
        <v>1646</v>
      </c>
      <c r="AE9" s="9">
        <f t="shared" si="2"/>
        <v>1921</v>
      </c>
      <c r="AF9" s="16" t="s">
        <v>73</v>
      </c>
      <c r="AG9" s="6">
        <f>250</f>
        <v>250</v>
      </c>
      <c r="AH9" s="18">
        <v>925</v>
      </c>
      <c r="AI9" s="17">
        <f>+(250-200)-(925-900)+550</f>
        <v>575</v>
      </c>
      <c r="AJ9" s="26">
        <v>1</v>
      </c>
      <c r="AK9" s="178"/>
      <c r="AL9" s="191"/>
      <c r="AM9" s="27" t="s">
        <v>92</v>
      </c>
      <c r="AN9" s="184"/>
      <c r="AO9" s="119"/>
      <c r="AP9" s="119"/>
      <c r="AQ9" s="119"/>
      <c r="AR9" s="121"/>
      <c r="AS9" s="71" t="s">
        <v>206</v>
      </c>
      <c r="AT9" s="72" t="s">
        <v>203</v>
      </c>
      <c r="AU9" s="69">
        <v>20000000</v>
      </c>
      <c r="AV9" s="69">
        <v>19600000</v>
      </c>
      <c r="AW9" s="208"/>
      <c r="AX9" s="58" t="s">
        <v>98</v>
      </c>
      <c r="AY9" s="19" t="s">
        <v>98</v>
      </c>
      <c r="AZ9" s="19" t="s">
        <v>174</v>
      </c>
      <c r="BA9" s="30"/>
      <c r="BB9" s="122"/>
      <c r="BC9" s="85" t="s">
        <v>184</v>
      </c>
    </row>
    <row r="10" spans="1:57" ht="388.5" customHeight="1" x14ac:dyDescent="0.25">
      <c r="A10" s="136"/>
      <c r="B10" s="140"/>
      <c r="C10" s="144"/>
      <c r="D10" s="144"/>
      <c r="E10" s="144"/>
      <c r="F10" s="161"/>
      <c r="G10" s="161"/>
      <c r="H10" s="161"/>
      <c r="I10" s="209" t="s">
        <v>31</v>
      </c>
      <c r="J10" s="20" t="s">
        <v>43</v>
      </c>
      <c r="K10" s="21">
        <v>6412</v>
      </c>
      <c r="L10" s="2">
        <v>3523</v>
      </c>
      <c r="M10" s="104">
        <f>1663+3515</f>
        <v>5178</v>
      </c>
      <c r="N10" s="7">
        <v>1337</v>
      </c>
      <c r="O10" s="7">
        <v>1551</v>
      </c>
      <c r="P10" s="7">
        <v>1762</v>
      </c>
      <c r="Q10" s="7">
        <v>1762</v>
      </c>
      <c r="R10" s="8">
        <v>0</v>
      </c>
      <c r="S10" s="8">
        <v>0</v>
      </c>
      <c r="T10" s="41">
        <v>1263</v>
      </c>
      <c r="U10" s="39">
        <v>3470</v>
      </c>
      <c r="V10" s="31">
        <f t="shared" si="0"/>
        <v>2.6861520998864927</v>
      </c>
      <c r="W10" s="106">
        <f t="shared" si="1"/>
        <v>9911</v>
      </c>
      <c r="X10" s="31">
        <v>1</v>
      </c>
      <c r="Y10" s="111">
        <f>AVERAGE(X10:X12)</f>
        <v>0.93696498054474708</v>
      </c>
      <c r="Z10" s="228" t="s">
        <v>62</v>
      </c>
      <c r="AA10" s="8">
        <v>0</v>
      </c>
      <c r="AB10" s="8">
        <v>0</v>
      </c>
      <c r="AC10" s="43">
        <v>1263</v>
      </c>
      <c r="AD10" s="44">
        <v>3470</v>
      </c>
      <c r="AE10" s="9">
        <f t="shared" si="2"/>
        <v>4733</v>
      </c>
      <c r="AF10" s="16" t="s">
        <v>74</v>
      </c>
      <c r="AG10" s="18">
        <f>1663</f>
        <v>1663</v>
      </c>
      <c r="AH10" s="18">
        <v>3515</v>
      </c>
      <c r="AI10" s="17">
        <v>1234</v>
      </c>
      <c r="AJ10" s="26">
        <v>1</v>
      </c>
      <c r="AK10" s="176">
        <f>AVERAGE(AJ10:AJ11)</f>
        <v>1</v>
      </c>
      <c r="AL10" s="191"/>
      <c r="AM10" s="27" t="s">
        <v>92</v>
      </c>
      <c r="AN10" s="182" t="s">
        <v>162</v>
      </c>
      <c r="AO10" s="187" t="s">
        <v>95</v>
      </c>
      <c r="AP10" s="187" t="s">
        <v>95</v>
      </c>
      <c r="AQ10" s="187" t="s">
        <v>94</v>
      </c>
      <c r="AR10" s="241" t="s">
        <v>94</v>
      </c>
      <c r="AS10" s="63" t="s">
        <v>207</v>
      </c>
      <c r="AT10" s="64" t="s">
        <v>201</v>
      </c>
      <c r="AU10" s="66">
        <v>98410440</v>
      </c>
      <c r="AV10" s="66">
        <v>59300000</v>
      </c>
      <c r="AW10" s="207">
        <f>+((AV10+AV11+AV12)/(AU10+AU11+AU12))</f>
        <v>0.67338507911833545</v>
      </c>
      <c r="AX10" s="58" t="s">
        <v>98</v>
      </c>
      <c r="AY10" s="19" t="s">
        <v>98</v>
      </c>
      <c r="AZ10" s="19" t="s">
        <v>166</v>
      </c>
      <c r="BA10" s="30"/>
      <c r="BB10" s="122"/>
      <c r="BC10" s="85" t="s">
        <v>185</v>
      </c>
    </row>
    <row r="11" spans="1:57" ht="409.5" customHeight="1" x14ac:dyDescent="0.25">
      <c r="A11" s="136"/>
      <c r="B11" s="140"/>
      <c r="C11" s="144"/>
      <c r="D11" s="144"/>
      <c r="E11" s="144"/>
      <c r="F11" s="161"/>
      <c r="G11" s="161"/>
      <c r="H11" s="161"/>
      <c r="I11" s="210"/>
      <c r="J11" s="212" t="s">
        <v>44</v>
      </c>
      <c r="K11" s="214">
        <v>5140</v>
      </c>
      <c r="L11" s="216" t="s">
        <v>145</v>
      </c>
      <c r="M11" s="218">
        <f>1081+1635</f>
        <v>2716</v>
      </c>
      <c r="N11" s="7">
        <v>1071</v>
      </c>
      <c r="O11" s="7">
        <v>1243</v>
      </c>
      <c r="P11" s="220">
        <v>1413</v>
      </c>
      <c r="Q11" s="7">
        <v>1413</v>
      </c>
      <c r="R11" s="222">
        <v>0</v>
      </c>
      <c r="S11" s="222">
        <v>0</v>
      </c>
      <c r="T11" s="224">
        <v>11</v>
      </c>
      <c r="U11" s="226">
        <v>1765</v>
      </c>
      <c r="V11" s="111">
        <f t="shared" si="0"/>
        <v>1.256900212314225</v>
      </c>
      <c r="W11" s="109">
        <f t="shared" si="1"/>
        <v>4492</v>
      </c>
      <c r="X11" s="116">
        <f t="shared" si="3"/>
        <v>0.87392996108949417</v>
      </c>
      <c r="Y11" s="117"/>
      <c r="Z11" s="229"/>
      <c r="AA11" s="222">
        <v>0</v>
      </c>
      <c r="AB11" s="222">
        <v>0</v>
      </c>
      <c r="AC11" s="231">
        <v>11</v>
      </c>
      <c r="AD11" s="233">
        <v>1765</v>
      </c>
      <c r="AE11" s="235">
        <f t="shared" si="2"/>
        <v>1776</v>
      </c>
      <c r="AF11" s="228" t="s">
        <v>75</v>
      </c>
      <c r="AG11" s="18">
        <f>1081</f>
        <v>1081</v>
      </c>
      <c r="AH11" s="18">
        <v>1635</v>
      </c>
      <c r="AI11" s="237">
        <f>1413-10-392</f>
        <v>1011</v>
      </c>
      <c r="AJ11" s="239">
        <v>1</v>
      </c>
      <c r="AK11" s="177"/>
      <c r="AL11" s="191"/>
      <c r="AM11" s="185" t="s">
        <v>92</v>
      </c>
      <c r="AN11" s="183"/>
      <c r="AO11" s="188"/>
      <c r="AP11" s="188"/>
      <c r="AQ11" s="188"/>
      <c r="AR11" s="242"/>
      <c r="AS11" s="70" t="s">
        <v>208</v>
      </c>
      <c r="AT11" s="50" t="s">
        <v>203</v>
      </c>
      <c r="AU11" s="52">
        <v>30000000</v>
      </c>
      <c r="AV11" s="52">
        <v>30000000</v>
      </c>
      <c r="AW11" s="244"/>
      <c r="AX11" s="58" t="s">
        <v>98</v>
      </c>
      <c r="AY11" s="19" t="s">
        <v>98</v>
      </c>
      <c r="AZ11" s="19" t="s">
        <v>167</v>
      </c>
      <c r="BA11" s="30"/>
      <c r="BB11" s="122"/>
      <c r="BC11" s="84" t="s">
        <v>186</v>
      </c>
    </row>
    <row r="12" spans="1:57" ht="195.75" customHeight="1" thickBot="1" x14ac:dyDescent="0.3">
      <c r="A12" s="136"/>
      <c r="B12" s="140"/>
      <c r="C12" s="144"/>
      <c r="D12" s="144"/>
      <c r="E12" s="144"/>
      <c r="F12" s="161"/>
      <c r="G12" s="161"/>
      <c r="H12" s="161"/>
      <c r="I12" s="211"/>
      <c r="J12" s="213"/>
      <c r="K12" s="215"/>
      <c r="L12" s="217"/>
      <c r="M12" s="219"/>
      <c r="N12" s="7"/>
      <c r="O12" s="7"/>
      <c r="P12" s="221"/>
      <c r="Q12" s="7"/>
      <c r="R12" s="223"/>
      <c r="S12" s="223"/>
      <c r="T12" s="225"/>
      <c r="U12" s="227"/>
      <c r="V12" s="112"/>
      <c r="W12" s="110"/>
      <c r="X12" s="116"/>
      <c r="Y12" s="117"/>
      <c r="Z12" s="230"/>
      <c r="AA12" s="223"/>
      <c r="AB12" s="223"/>
      <c r="AC12" s="232"/>
      <c r="AD12" s="234"/>
      <c r="AE12" s="236"/>
      <c r="AF12" s="230"/>
      <c r="AG12" s="18"/>
      <c r="AH12" s="18"/>
      <c r="AI12" s="238"/>
      <c r="AJ12" s="240"/>
      <c r="AK12" s="178"/>
      <c r="AL12" s="191"/>
      <c r="AM12" s="186"/>
      <c r="AN12" s="184"/>
      <c r="AO12" s="189"/>
      <c r="AP12" s="189"/>
      <c r="AQ12" s="189"/>
      <c r="AR12" s="243"/>
      <c r="AS12" s="71" t="s">
        <v>210</v>
      </c>
      <c r="AT12" s="72" t="s">
        <v>209</v>
      </c>
      <c r="AU12" s="68">
        <v>4203131</v>
      </c>
      <c r="AV12" s="69">
        <v>0</v>
      </c>
      <c r="AW12" s="208"/>
      <c r="AX12" s="58"/>
      <c r="AY12" s="19"/>
      <c r="AZ12" s="19"/>
      <c r="BA12" s="30"/>
      <c r="BB12" s="122"/>
      <c r="BC12" s="84"/>
    </row>
    <row r="13" spans="1:57" ht="120" customHeight="1" x14ac:dyDescent="0.25">
      <c r="A13" s="136"/>
      <c r="B13" s="140"/>
      <c r="C13" s="144"/>
      <c r="D13" s="144"/>
      <c r="E13" s="144"/>
      <c r="F13" s="161"/>
      <c r="G13" s="161"/>
      <c r="H13" s="161"/>
      <c r="I13" s="209" t="s">
        <v>32</v>
      </c>
      <c r="J13" s="212" t="s">
        <v>120</v>
      </c>
      <c r="K13" s="214">
        <v>500</v>
      </c>
      <c r="L13" s="245" t="s">
        <v>146</v>
      </c>
      <c r="M13" s="246">
        <f>158+180</f>
        <v>338</v>
      </c>
      <c r="N13" s="7">
        <v>105</v>
      </c>
      <c r="O13" s="7">
        <v>121</v>
      </c>
      <c r="P13" s="220">
        <v>137</v>
      </c>
      <c r="Q13" s="7">
        <v>137</v>
      </c>
      <c r="R13" s="222">
        <v>0</v>
      </c>
      <c r="S13" s="222">
        <v>0</v>
      </c>
      <c r="T13" s="224">
        <v>111</v>
      </c>
      <c r="U13" s="226">
        <v>4401</v>
      </c>
      <c r="V13" s="111">
        <f t="shared" si="0"/>
        <v>32.934306569343065</v>
      </c>
      <c r="W13" s="109">
        <f t="shared" si="1"/>
        <v>4850</v>
      </c>
      <c r="X13" s="116">
        <v>1</v>
      </c>
      <c r="Y13" s="117">
        <f>+X13</f>
        <v>1</v>
      </c>
      <c r="Z13" s="228" t="s">
        <v>63</v>
      </c>
      <c r="AA13" s="222">
        <v>0</v>
      </c>
      <c r="AB13" s="222">
        <v>0</v>
      </c>
      <c r="AC13" s="231">
        <v>111</v>
      </c>
      <c r="AD13" s="233">
        <v>4401</v>
      </c>
      <c r="AE13" s="235">
        <f t="shared" si="2"/>
        <v>4512</v>
      </c>
      <c r="AF13" s="228" t="s">
        <v>76</v>
      </c>
      <c r="AG13" s="22">
        <f>158</f>
        <v>158</v>
      </c>
      <c r="AH13" s="22">
        <v>180</v>
      </c>
      <c r="AI13" s="248">
        <f>137-53-59</f>
        <v>25</v>
      </c>
      <c r="AJ13" s="239">
        <v>1</v>
      </c>
      <c r="AK13" s="179">
        <f>+AJ13</f>
        <v>1</v>
      </c>
      <c r="AL13" s="191"/>
      <c r="AM13" s="27" t="s">
        <v>92</v>
      </c>
      <c r="AN13" s="37" t="s">
        <v>162</v>
      </c>
      <c r="AO13" s="34" t="s">
        <v>95</v>
      </c>
      <c r="AP13" s="34" t="s">
        <v>95</v>
      </c>
      <c r="AQ13" s="34" t="s">
        <v>94</v>
      </c>
      <c r="AR13" s="35" t="s">
        <v>94</v>
      </c>
      <c r="AS13" s="63" t="s">
        <v>211</v>
      </c>
      <c r="AT13" s="64" t="s">
        <v>201</v>
      </c>
      <c r="AU13" s="65">
        <v>128100000</v>
      </c>
      <c r="AV13" s="66">
        <v>127866000</v>
      </c>
      <c r="AW13" s="207">
        <f>+((AV13+AV14)/(AU13+AU14))</f>
        <v>0.9397417218543046</v>
      </c>
      <c r="AX13" s="58" t="s">
        <v>108</v>
      </c>
      <c r="AY13" s="19" t="s">
        <v>159</v>
      </c>
      <c r="AZ13" s="19" t="s">
        <v>168</v>
      </c>
      <c r="BA13" s="30"/>
      <c r="BB13" s="122"/>
      <c r="BC13" s="84" t="s">
        <v>187</v>
      </c>
    </row>
    <row r="14" spans="1:57" ht="120" customHeight="1" thickBot="1" x14ac:dyDescent="0.3">
      <c r="A14" s="136"/>
      <c r="B14" s="140"/>
      <c r="C14" s="144"/>
      <c r="D14" s="144"/>
      <c r="E14" s="144"/>
      <c r="F14" s="161"/>
      <c r="G14" s="161"/>
      <c r="H14" s="161"/>
      <c r="I14" s="211"/>
      <c r="J14" s="213"/>
      <c r="K14" s="215"/>
      <c r="L14" s="159"/>
      <c r="M14" s="247"/>
      <c r="N14" s="7"/>
      <c r="O14" s="7"/>
      <c r="P14" s="221"/>
      <c r="Q14" s="7"/>
      <c r="R14" s="223"/>
      <c r="S14" s="223"/>
      <c r="T14" s="225"/>
      <c r="U14" s="227"/>
      <c r="V14" s="112"/>
      <c r="W14" s="110"/>
      <c r="X14" s="116"/>
      <c r="Y14" s="117"/>
      <c r="Z14" s="230"/>
      <c r="AA14" s="223"/>
      <c r="AB14" s="223"/>
      <c r="AC14" s="232"/>
      <c r="AD14" s="234"/>
      <c r="AE14" s="236"/>
      <c r="AF14" s="230"/>
      <c r="AG14" s="22"/>
      <c r="AH14" s="22"/>
      <c r="AI14" s="249"/>
      <c r="AJ14" s="240"/>
      <c r="AK14" s="181"/>
      <c r="AL14" s="191"/>
      <c r="AM14" s="27"/>
      <c r="AN14" s="57"/>
      <c r="AO14" s="34"/>
      <c r="AP14" s="34"/>
      <c r="AQ14" s="34"/>
      <c r="AR14" s="35"/>
      <c r="AS14" s="67" t="s">
        <v>212</v>
      </c>
      <c r="AT14" s="72" t="s">
        <v>203</v>
      </c>
      <c r="AU14" s="68">
        <v>113500000</v>
      </c>
      <c r="AV14" s="69">
        <v>99175600</v>
      </c>
      <c r="AW14" s="208"/>
      <c r="AX14" s="58"/>
      <c r="AY14" s="19"/>
      <c r="AZ14" s="40"/>
      <c r="BA14" s="30"/>
      <c r="BB14" s="122"/>
      <c r="BC14" s="86"/>
    </row>
    <row r="15" spans="1:57" ht="234" x14ac:dyDescent="0.25">
      <c r="A15" s="136"/>
      <c r="B15" s="140"/>
      <c r="C15" s="144"/>
      <c r="D15" s="144"/>
      <c r="E15" s="144"/>
      <c r="F15" s="161"/>
      <c r="G15" s="161"/>
      <c r="H15" s="161"/>
      <c r="I15" s="150" t="s">
        <v>33</v>
      </c>
      <c r="J15" s="20" t="s">
        <v>45</v>
      </c>
      <c r="K15" s="21">
        <v>1704</v>
      </c>
      <c r="L15" s="28" t="s">
        <v>147</v>
      </c>
      <c r="M15" s="24">
        <f>6+305</f>
        <v>311</v>
      </c>
      <c r="N15" s="7">
        <v>10</v>
      </c>
      <c r="O15" s="7">
        <v>526</v>
      </c>
      <c r="P15" s="7">
        <v>584</v>
      </c>
      <c r="Q15" s="7">
        <v>584</v>
      </c>
      <c r="R15" s="8">
        <v>3</v>
      </c>
      <c r="S15" s="8">
        <v>0</v>
      </c>
      <c r="T15" s="41">
        <v>0</v>
      </c>
      <c r="U15" s="39">
        <v>0</v>
      </c>
      <c r="V15" s="31">
        <f t="shared" si="0"/>
        <v>5.1369863013698627E-3</v>
      </c>
      <c r="W15" s="106">
        <f t="shared" si="1"/>
        <v>314</v>
      </c>
      <c r="X15" s="31">
        <f t="shared" si="3"/>
        <v>0.18427230046948356</v>
      </c>
      <c r="Y15" s="116">
        <f>AVERAGE(X15:X17)</f>
        <v>0.31015269693206832</v>
      </c>
      <c r="Z15" s="154" t="s">
        <v>64</v>
      </c>
      <c r="AA15" s="8">
        <v>3</v>
      </c>
      <c r="AB15" s="8">
        <v>0</v>
      </c>
      <c r="AC15" s="43">
        <v>0</v>
      </c>
      <c r="AD15" s="44">
        <v>0</v>
      </c>
      <c r="AE15" s="9">
        <f t="shared" si="2"/>
        <v>3</v>
      </c>
      <c r="AF15" s="16" t="s">
        <v>77</v>
      </c>
      <c r="AG15" s="22">
        <f>6</f>
        <v>6</v>
      </c>
      <c r="AH15" s="22">
        <v>305</v>
      </c>
      <c r="AI15" s="23">
        <f>584+(10-6)+(526-305)</f>
        <v>809</v>
      </c>
      <c r="AJ15" s="26">
        <f t="shared" si="4"/>
        <v>3.708281829419036E-3</v>
      </c>
      <c r="AK15" s="179">
        <f>+(AJ15+AJ16+AJ17)/3</f>
        <v>3.507068040930509E-2</v>
      </c>
      <c r="AL15" s="191"/>
      <c r="AM15" s="27" t="s">
        <v>92</v>
      </c>
      <c r="AN15" s="182" t="s">
        <v>162</v>
      </c>
      <c r="AO15" s="118" t="s">
        <v>95</v>
      </c>
      <c r="AP15" s="118" t="s">
        <v>95</v>
      </c>
      <c r="AQ15" s="118" t="s">
        <v>94</v>
      </c>
      <c r="AR15" s="120" t="s">
        <v>94</v>
      </c>
      <c r="AS15" s="63" t="s">
        <v>213</v>
      </c>
      <c r="AT15" s="64" t="s">
        <v>201</v>
      </c>
      <c r="AU15" s="65">
        <v>53500000</v>
      </c>
      <c r="AV15" s="66">
        <v>53350000</v>
      </c>
      <c r="AW15" s="207">
        <f>+((AV15+AV16)/(AU15+AU16))</f>
        <v>0.99527826086956517</v>
      </c>
      <c r="AX15" s="58" t="s">
        <v>139</v>
      </c>
      <c r="AY15" s="19" t="s">
        <v>159</v>
      </c>
      <c r="AZ15" s="87" t="s">
        <v>175</v>
      </c>
      <c r="BA15" s="30"/>
      <c r="BB15" s="122"/>
      <c r="BC15" s="88" t="s">
        <v>175</v>
      </c>
    </row>
    <row r="16" spans="1:57" ht="196.5" customHeight="1" x14ac:dyDescent="0.25">
      <c r="A16" s="136"/>
      <c r="B16" s="140"/>
      <c r="C16" s="144"/>
      <c r="D16" s="144"/>
      <c r="E16" s="144"/>
      <c r="F16" s="161"/>
      <c r="G16" s="161"/>
      <c r="H16" s="161"/>
      <c r="I16" s="151"/>
      <c r="J16" s="20" t="s">
        <v>46</v>
      </c>
      <c r="K16" s="21">
        <v>2556</v>
      </c>
      <c r="L16" s="28" t="s">
        <v>148</v>
      </c>
      <c r="M16" s="104">
        <f>229+989</f>
        <v>1218</v>
      </c>
      <c r="N16" s="7">
        <v>220</v>
      </c>
      <c r="O16" s="7">
        <v>723</v>
      </c>
      <c r="P16" s="7">
        <v>807</v>
      </c>
      <c r="Q16" s="7">
        <v>806</v>
      </c>
      <c r="R16" s="8">
        <v>0</v>
      </c>
      <c r="S16" s="8">
        <v>0</v>
      </c>
      <c r="T16" s="41">
        <v>0</v>
      </c>
      <c r="U16" s="39">
        <v>54</v>
      </c>
      <c r="V16" s="31">
        <f t="shared" si="0"/>
        <v>6.6914498141263934E-2</v>
      </c>
      <c r="W16" s="106">
        <f t="shared" si="1"/>
        <v>1272</v>
      </c>
      <c r="X16" s="31">
        <f t="shared" si="3"/>
        <v>0.49765258215962443</v>
      </c>
      <c r="Y16" s="116"/>
      <c r="Z16" s="153"/>
      <c r="AA16" s="8">
        <v>0</v>
      </c>
      <c r="AB16" s="8">
        <v>0</v>
      </c>
      <c r="AC16" s="43">
        <v>0</v>
      </c>
      <c r="AD16" s="44">
        <v>54</v>
      </c>
      <c r="AE16" s="9">
        <f>+AA16+AB16+AC16+AD16</f>
        <v>54</v>
      </c>
      <c r="AF16" s="16" t="s">
        <v>78</v>
      </c>
      <c r="AG16" s="18">
        <f>229</f>
        <v>229</v>
      </c>
      <c r="AH16" s="18">
        <v>989</v>
      </c>
      <c r="AI16" s="17">
        <f>807-266-9</f>
        <v>532</v>
      </c>
      <c r="AJ16" s="26">
        <f>+(AE16/AI16)</f>
        <v>0.10150375939849623</v>
      </c>
      <c r="AK16" s="180"/>
      <c r="AL16" s="191"/>
      <c r="AM16" s="27" t="s">
        <v>92</v>
      </c>
      <c r="AN16" s="183"/>
      <c r="AO16" s="119"/>
      <c r="AP16" s="119"/>
      <c r="AQ16" s="119"/>
      <c r="AR16" s="121"/>
      <c r="AS16" s="201" t="s">
        <v>214</v>
      </c>
      <c r="AT16" s="203" t="s">
        <v>203</v>
      </c>
      <c r="AU16" s="205">
        <v>50000000</v>
      </c>
      <c r="AV16" s="205">
        <v>49661300</v>
      </c>
      <c r="AW16" s="244"/>
      <c r="AX16" s="58" t="s">
        <v>112</v>
      </c>
      <c r="AY16" s="19" t="s">
        <v>159</v>
      </c>
      <c r="AZ16" s="19" t="s">
        <v>159</v>
      </c>
      <c r="BA16" s="30"/>
      <c r="BB16" s="122"/>
      <c r="BC16" s="84" t="s">
        <v>188</v>
      </c>
      <c r="BE16" s="30">
        <f>+BD16-20</f>
        <v>-20</v>
      </c>
    </row>
    <row r="17" spans="1:55" ht="108.75" thickBot="1" x14ac:dyDescent="0.3">
      <c r="A17" s="136"/>
      <c r="B17" s="140"/>
      <c r="C17" s="144"/>
      <c r="D17" s="144"/>
      <c r="E17" s="144"/>
      <c r="F17" s="161"/>
      <c r="G17" s="161"/>
      <c r="H17" s="161"/>
      <c r="I17" s="151"/>
      <c r="J17" s="20" t="s">
        <v>47</v>
      </c>
      <c r="K17" s="21">
        <v>4261</v>
      </c>
      <c r="L17" s="28" t="s">
        <v>149</v>
      </c>
      <c r="M17" s="24">
        <f>431+628</f>
        <v>1059</v>
      </c>
      <c r="N17" s="7">
        <v>438</v>
      </c>
      <c r="O17" s="7">
        <v>1189</v>
      </c>
      <c r="P17" s="7">
        <v>1317</v>
      </c>
      <c r="Q17" s="7">
        <v>1317</v>
      </c>
      <c r="R17" s="8">
        <v>0</v>
      </c>
      <c r="S17" s="8">
        <v>0</v>
      </c>
      <c r="T17" s="41">
        <v>0</v>
      </c>
      <c r="U17" s="39">
        <v>0</v>
      </c>
      <c r="V17" s="31">
        <f t="shared" si="0"/>
        <v>0</v>
      </c>
      <c r="W17" s="106">
        <f t="shared" si="1"/>
        <v>1059</v>
      </c>
      <c r="X17" s="31">
        <f t="shared" si="3"/>
        <v>0.24853320816709693</v>
      </c>
      <c r="Y17" s="116"/>
      <c r="Z17" s="153"/>
      <c r="AA17" s="8">
        <v>0</v>
      </c>
      <c r="AB17" s="8">
        <v>0</v>
      </c>
      <c r="AC17" s="43">
        <v>0</v>
      </c>
      <c r="AD17" s="44">
        <v>0</v>
      </c>
      <c r="AE17" s="9">
        <f t="shared" si="2"/>
        <v>0</v>
      </c>
      <c r="AF17" s="16" t="s">
        <v>79</v>
      </c>
      <c r="AG17" s="22">
        <f>431</f>
        <v>431</v>
      </c>
      <c r="AH17" s="22">
        <v>628</v>
      </c>
      <c r="AI17" s="17">
        <f>1317-7+561</f>
        <v>1871</v>
      </c>
      <c r="AJ17" s="26">
        <f t="shared" si="4"/>
        <v>0</v>
      </c>
      <c r="AK17" s="181"/>
      <c r="AL17" s="191"/>
      <c r="AM17" s="27" t="s">
        <v>92</v>
      </c>
      <c r="AN17" s="184"/>
      <c r="AO17" s="119"/>
      <c r="AP17" s="119"/>
      <c r="AQ17" s="119"/>
      <c r="AR17" s="121"/>
      <c r="AS17" s="202"/>
      <c r="AT17" s="204"/>
      <c r="AU17" s="206"/>
      <c r="AV17" s="206"/>
      <c r="AW17" s="208"/>
      <c r="AX17" s="58" t="s">
        <v>100</v>
      </c>
      <c r="AY17" s="19" t="s">
        <v>159</v>
      </c>
      <c r="AZ17" s="19" t="s">
        <v>159</v>
      </c>
      <c r="BA17" s="30"/>
      <c r="BB17" s="122"/>
      <c r="BC17" s="84" t="s">
        <v>159</v>
      </c>
    </row>
    <row r="18" spans="1:55" ht="171" customHeight="1" x14ac:dyDescent="0.25">
      <c r="A18" s="136"/>
      <c r="B18" s="140"/>
      <c r="C18" s="144"/>
      <c r="D18" s="144"/>
      <c r="E18" s="144"/>
      <c r="F18" s="161"/>
      <c r="G18" s="161"/>
      <c r="H18" s="161"/>
      <c r="I18" s="150" t="s">
        <v>34</v>
      </c>
      <c r="J18" s="20" t="s">
        <v>48</v>
      </c>
      <c r="K18" s="21">
        <v>13374</v>
      </c>
      <c r="L18" s="28" t="s">
        <v>150</v>
      </c>
      <c r="M18" s="104">
        <f>1134+3292</f>
        <v>4426</v>
      </c>
      <c r="N18" s="7">
        <v>1150</v>
      </c>
      <c r="O18" s="7">
        <v>3780</v>
      </c>
      <c r="P18" s="7">
        <v>4222</v>
      </c>
      <c r="Q18" s="7">
        <v>4222</v>
      </c>
      <c r="R18" s="8">
        <v>0</v>
      </c>
      <c r="S18" s="8">
        <v>0</v>
      </c>
      <c r="T18" s="41">
        <v>103</v>
      </c>
      <c r="U18" s="39">
        <v>429</v>
      </c>
      <c r="V18" s="31">
        <f t="shared" si="0"/>
        <v>0.12600663192799622</v>
      </c>
      <c r="W18" s="106">
        <f t="shared" si="1"/>
        <v>4958</v>
      </c>
      <c r="X18" s="31">
        <f t="shared" si="3"/>
        <v>0.37071930611634513</v>
      </c>
      <c r="Y18" s="116">
        <f>AVERAGE(X18:X19)</f>
        <v>0.62285965305817259</v>
      </c>
      <c r="Z18" s="154" t="s">
        <v>65</v>
      </c>
      <c r="AA18" s="8">
        <v>0</v>
      </c>
      <c r="AB18" s="8">
        <v>0</v>
      </c>
      <c r="AC18" s="43">
        <v>103</v>
      </c>
      <c r="AD18" s="44">
        <v>429</v>
      </c>
      <c r="AE18" s="9">
        <f t="shared" si="2"/>
        <v>532</v>
      </c>
      <c r="AF18" s="16" t="s">
        <v>80</v>
      </c>
      <c r="AG18" s="18">
        <f>1134</f>
        <v>1134</v>
      </c>
      <c r="AH18" s="18">
        <v>3292</v>
      </c>
      <c r="AI18" s="17">
        <f>4222+(1150-1134)+(3780-3292)</f>
        <v>4726</v>
      </c>
      <c r="AJ18" s="26">
        <f t="shared" si="4"/>
        <v>0.11256876851460008</v>
      </c>
      <c r="AK18" s="176">
        <f>+(AJ18+AJ19)/2</f>
        <v>0.55628438425730009</v>
      </c>
      <c r="AL18" s="191"/>
      <c r="AM18" s="27" t="s">
        <v>92</v>
      </c>
      <c r="AN18" s="182" t="s">
        <v>162</v>
      </c>
      <c r="AO18" s="118" t="s">
        <v>95</v>
      </c>
      <c r="AP18" s="118" t="s">
        <v>95</v>
      </c>
      <c r="AQ18" s="118" t="s">
        <v>94</v>
      </c>
      <c r="AR18" s="120" t="s">
        <v>94</v>
      </c>
      <c r="AS18" s="36" t="s">
        <v>215</v>
      </c>
      <c r="AT18" s="64" t="s">
        <v>201</v>
      </c>
      <c r="AU18" s="62">
        <v>30000000</v>
      </c>
      <c r="AV18" s="51">
        <v>30000000</v>
      </c>
      <c r="AW18" s="250">
        <f>+((AV18+AV19)/(AU18+AU19))</f>
        <v>0.54545454545454541</v>
      </c>
      <c r="AX18" s="19" t="s">
        <v>101</v>
      </c>
      <c r="AY18" s="19" t="s">
        <v>159</v>
      </c>
      <c r="AZ18" s="19" t="s">
        <v>178</v>
      </c>
      <c r="BA18" s="30"/>
      <c r="BB18" s="122"/>
      <c r="BC18" s="84" t="s">
        <v>189</v>
      </c>
    </row>
    <row r="19" spans="1:55" ht="252.75" thickBot="1" x14ac:dyDescent="0.3">
      <c r="A19" s="136"/>
      <c r="B19" s="140"/>
      <c r="C19" s="144"/>
      <c r="D19" s="144"/>
      <c r="E19" s="144"/>
      <c r="F19" s="161"/>
      <c r="G19" s="161"/>
      <c r="H19" s="161"/>
      <c r="I19" s="151"/>
      <c r="J19" s="20" t="s">
        <v>49</v>
      </c>
      <c r="K19" s="21">
        <v>8</v>
      </c>
      <c r="L19" s="1" t="s">
        <v>151</v>
      </c>
      <c r="M19" s="24">
        <f>1+3</f>
        <v>4</v>
      </c>
      <c r="N19" s="7">
        <v>1</v>
      </c>
      <c r="O19" s="7">
        <v>3</v>
      </c>
      <c r="P19" s="7">
        <v>2</v>
      </c>
      <c r="Q19" s="7">
        <v>2</v>
      </c>
      <c r="R19" s="8">
        <v>0</v>
      </c>
      <c r="S19" s="8">
        <v>0</v>
      </c>
      <c r="T19" s="41">
        <v>1</v>
      </c>
      <c r="U19" s="39">
        <v>2</v>
      </c>
      <c r="V19" s="31">
        <f t="shared" si="0"/>
        <v>1.5</v>
      </c>
      <c r="W19" s="106">
        <f t="shared" si="1"/>
        <v>7</v>
      </c>
      <c r="X19" s="31">
        <f t="shared" si="3"/>
        <v>0.875</v>
      </c>
      <c r="Y19" s="116"/>
      <c r="Z19" s="153"/>
      <c r="AA19" s="8">
        <v>0</v>
      </c>
      <c r="AB19" s="8">
        <v>0</v>
      </c>
      <c r="AC19" s="43">
        <v>1</v>
      </c>
      <c r="AD19" s="44">
        <v>2</v>
      </c>
      <c r="AE19" s="9">
        <f t="shared" si="2"/>
        <v>3</v>
      </c>
      <c r="AF19" s="16" t="s">
        <v>81</v>
      </c>
      <c r="AG19" s="22">
        <f>1</f>
        <v>1</v>
      </c>
      <c r="AH19" s="9">
        <v>3</v>
      </c>
      <c r="AI19" s="17">
        <v>2</v>
      </c>
      <c r="AJ19" s="26">
        <v>1</v>
      </c>
      <c r="AK19" s="178"/>
      <c r="AL19" s="191"/>
      <c r="AM19" s="27" t="s">
        <v>92</v>
      </c>
      <c r="AN19" s="184"/>
      <c r="AO19" s="119"/>
      <c r="AP19" s="119"/>
      <c r="AQ19" s="119"/>
      <c r="AR19" s="121"/>
      <c r="AS19" s="59" t="s">
        <v>216</v>
      </c>
      <c r="AT19" s="59" t="s">
        <v>203</v>
      </c>
      <c r="AU19" s="60">
        <v>25000000</v>
      </c>
      <c r="AV19" s="61">
        <v>0</v>
      </c>
      <c r="AW19" s="251"/>
      <c r="AX19" s="19" t="s">
        <v>102</v>
      </c>
      <c r="AY19" s="19" t="s">
        <v>159</v>
      </c>
      <c r="AZ19" s="19" t="s">
        <v>176</v>
      </c>
      <c r="BA19" s="30"/>
      <c r="BB19" s="122"/>
      <c r="BC19" s="84" t="s">
        <v>190</v>
      </c>
    </row>
    <row r="20" spans="1:55" ht="189" customHeight="1" x14ac:dyDescent="0.25">
      <c r="A20" s="136"/>
      <c r="B20" s="140"/>
      <c r="C20" s="144"/>
      <c r="D20" s="144"/>
      <c r="E20" s="144"/>
      <c r="F20" s="161"/>
      <c r="G20" s="161"/>
      <c r="H20" s="161"/>
      <c r="I20" s="148" t="s">
        <v>35</v>
      </c>
      <c r="J20" s="13" t="s">
        <v>50</v>
      </c>
      <c r="K20" s="14">
        <v>9231</v>
      </c>
      <c r="L20" s="28" t="s">
        <v>152</v>
      </c>
      <c r="M20" s="104">
        <f>2063+3305</f>
        <v>5368</v>
      </c>
      <c r="N20" s="7">
        <v>1924</v>
      </c>
      <c r="O20" s="7">
        <v>2233</v>
      </c>
      <c r="P20" s="7">
        <v>2537</v>
      </c>
      <c r="Q20" s="7">
        <v>2537</v>
      </c>
      <c r="R20" s="8">
        <v>0</v>
      </c>
      <c r="S20" s="8">
        <v>0</v>
      </c>
      <c r="T20" s="41">
        <v>359</v>
      </c>
      <c r="U20" s="39">
        <v>610</v>
      </c>
      <c r="V20" s="31">
        <f t="shared" si="0"/>
        <v>0.38194718171068193</v>
      </c>
      <c r="W20" s="106">
        <f t="shared" si="1"/>
        <v>6337</v>
      </c>
      <c r="X20" s="31">
        <f t="shared" si="3"/>
        <v>0.68649117105405699</v>
      </c>
      <c r="Y20" s="116">
        <f>AVERAGE(X20:X21)</f>
        <v>0.84324558552702844</v>
      </c>
      <c r="Z20" s="154" t="s">
        <v>66</v>
      </c>
      <c r="AA20" s="8">
        <v>0</v>
      </c>
      <c r="AB20" s="8">
        <v>0</v>
      </c>
      <c r="AC20" s="43">
        <v>359</v>
      </c>
      <c r="AD20" s="44">
        <v>610</v>
      </c>
      <c r="AE20" s="9">
        <f t="shared" si="2"/>
        <v>969</v>
      </c>
      <c r="AF20" s="16" t="s">
        <v>82</v>
      </c>
      <c r="AG20" s="18">
        <f>2063</f>
        <v>2063</v>
      </c>
      <c r="AH20" s="18">
        <v>3305</v>
      </c>
      <c r="AI20" s="17">
        <f>2537-139-1072</f>
        <v>1326</v>
      </c>
      <c r="AJ20" s="26">
        <f t="shared" si="4"/>
        <v>0.73076923076923073</v>
      </c>
      <c r="AK20" s="176">
        <f>+(AJ20+AJ21)/2</f>
        <v>0.86538461538461542</v>
      </c>
      <c r="AL20" s="191"/>
      <c r="AM20" s="27" t="s">
        <v>92</v>
      </c>
      <c r="AN20" s="182" t="s">
        <v>162</v>
      </c>
      <c r="AO20" s="118" t="s">
        <v>95</v>
      </c>
      <c r="AP20" s="118" t="s">
        <v>95</v>
      </c>
      <c r="AQ20" s="118" t="s">
        <v>94</v>
      </c>
      <c r="AR20" s="120" t="s">
        <v>94</v>
      </c>
      <c r="AS20" s="63" t="s">
        <v>218</v>
      </c>
      <c r="AT20" s="64" t="s">
        <v>201</v>
      </c>
      <c r="AU20" s="65">
        <v>54500000</v>
      </c>
      <c r="AV20" s="66">
        <v>47500000</v>
      </c>
      <c r="AW20" s="207">
        <f>+((AV20+AV21)/(AU20+AU21))</f>
        <v>0.90849267924528299</v>
      </c>
      <c r="AX20" s="58" t="s">
        <v>103</v>
      </c>
      <c r="AY20" s="19" t="s">
        <v>159</v>
      </c>
      <c r="AZ20" s="87" t="s">
        <v>177</v>
      </c>
      <c r="BA20" s="30"/>
      <c r="BB20" s="122"/>
      <c r="BC20" s="88" t="s">
        <v>197</v>
      </c>
    </row>
    <row r="21" spans="1:55" ht="180.75" thickBot="1" x14ac:dyDescent="0.3">
      <c r="A21" s="136"/>
      <c r="B21" s="140"/>
      <c r="C21" s="144"/>
      <c r="D21" s="144"/>
      <c r="E21" s="144"/>
      <c r="F21" s="161"/>
      <c r="G21" s="161"/>
      <c r="H21" s="161"/>
      <c r="I21" s="149"/>
      <c r="J21" s="13" t="s">
        <v>51</v>
      </c>
      <c r="K21" s="14">
        <v>690</v>
      </c>
      <c r="L21" s="28" t="s">
        <v>153</v>
      </c>
      <c r="M21" s="24">
        <f>182+326</f>
        <v>508</v>
      </c>
      <c r="N21" s="7">
        <v>145</v>
      </c>
      <c r="O21" s="7">
        <v>167</v>
      </c>
      <c r="P21" s="7">
        <v>189</v>
      </c>
      <c r="Q21" s="7">
        <v>189</v>
      </c>
      <c r="R21" s="8">
        <v>20</v>
      </c>
      <c r="S21" s="8">
        <v>0</v>
      </c>
      <c r="T21" s="41">
        <v>53</v>
      </c>
      <c r="U21" s="39">
        <v>1295</v>
      </c>
      <c r="V21" s="31">
        <f t="shared" si="0"/>
        <v>7.2380952380952381</v>
      </c>
      <c r="W21" s="106">
        <f t="shared" si="1"/>
        <v>1876</v>
      </c>
      <c r="X21" s="31">
        <v>1</v>
      </c>
      <c r="Y21" s="116"/>
      <c r="Z21" s="153"/>
      <c r="AA21" s="8">
        <v>20</v>
      </c>
      <c r="AB21" s="8">
        <v>0</v>
      </c>
      <c r="AC21" s="43">
        <v>53</v>
      </c>
      <c r="AD21" s="47">
        <v>1295</v>
      </c>
      <c r="AE21" s="47">
        <f t="shared" si="2"/>
        <v>1368</v>
      </c>
      <c r="AF21" s="48" t="s">
        <v>83</v>
      </c>
      <c r="AG21" s="22">
        <f>182</f>
        <v>182</v>
      </c>
      <c r="AH21" s="22">
        <v>326</v>
      </c>
      <c r="AI21" s="17">
        <v>182</v>
      </c>
      <c r="AJ21" s="49">
        <v>1</v>
      </c>
      <c r="AK21" s="178"/>
      <c r="AL21" s="191"/>
      <c r="AM21" s="27" t="s">
        <v>92</v>
      </c>
      <c r="AN21" s="184"/>
      <c r="AO21" s="119"/>
      <c r="AP21" s="119"/>
      <c r="AQ21" s="119"/>
      <c r="AR21" s="121"/>
      <c r="AS21" s="71" t="s">
        <v>219</v>
      </c>
      <c r="AT21" s="72" t="s">
        <v>203</v>
      </c>
      <c r="AU21" s="68">
        <v>25000000</v>
      </c>
      <c r="AV21" s="69">
        <v>24725168</v>
      </c>
      <c r="AW21" s="208"/>
      <c r="AX21" s="58" t="s">
        <v>104</v>
      </c>
      <c r="AY21" s="19" t="s">
        <v>159</v>
      </c>
      <c r="AZ21" s="19" t="s">
        <v>179</v>
      </c>
      <c r="BA21" s="30"/>
      <c r="BB21" s="122"/>
      <c r="BC21" s="84" t="s">
        <v>196</v>
      </c>
    </row>
    <row r="22" spans="1:55" ht="255.75" customHeight="1" x14ac:dyDescent="0.25">
      <c r="A22" s="136"/>
      <c r="B22" s="140"/>
      <c r="C22" s="144"/>
      <c r="D22" s="144"/>
      <c r="E22" s="144"/>
      <c r="F22" s="161"/>
      <c r="G22" s="161"/>
      <c r="H22" s="161"/>
      <c r="I22" s="148" t="s">
        <v>121</v>
      </c>
      <c r="J22" s="13" t="s">
        <v>52</v>
      </c>
      <c r="K22" s="14">
        <v>10577</v>
      </c>
      <c r="L22" s="2">
        <v>9852</v>
      </c>
      <c r="M22" s="104">
        <f>2285+1828</f>
        <v>4113</v>
      </c>
      <c r="N22" s="7">
        <v>2204</v>
      </c>
      <c r="O22" s="7">
        <v>2559</v>
      </c>
      <c r="P22" s="7">
        <v>2907</v>
      </c>
      <c r="Q22" s="7">
        <v>2907</v>
      </c>
      <c r="R22" s="8">
        <v>25</v>
      </c>
      <c r="S22" s="8">
        <v>0</v>
      </c>
      <c r="T22" s="41">
        <v>353</v>
      </c>
      <c r="U22" s="39">
        <v>1502</v>
      </c>
      <c r="V22" s="31">
        <f t="shared" si="0"/>
        <v>0.64671482628138977</v>
      </c>
      <c r="W22" s="106">
        <f t="shared" si="1"/>
        <v>5993</v>
      </c>
      <c r="X22" s="31">
        <f t="shared" si="3"/>
        <v>0.56660678831426681</v>
      </c>
      <c r="Y22" s="116">
        <f>AVERAGE(X22:X24)</f>
        <v>0.82199392943808902</v>
      </c>
      <c r="Z22" s="154" t="s">
        <v>67</v>
      </c>
      <c r="AA22" s="8">
        <v>25</v>
      </c>
      <c r="AB22" s="8">
        <v>0</v>
      </c>
      <c r="AC22" s="43">
        <v>353</v>
      </c>
      <c r="AD22" s="44">
        <v>1502</v>
      </c>
      <c r="AE22" s="9">
        <f t="shared" si="2"/>
        <v>1880</v>
      </c>
      <c r="AF22" s="16" t="s">
        <v>84</v>
      </c>
      <c r="AG22" s="18">
        <f>2285</f>
        <v>2285</v>
      </c>
      <c r="AH22" s="18">
        <v>1828</v>
      </c>
      <c r="AI22" s="17">
        <v>3232</v>
      </c>
      <c r="AJ22" s="26">
        <f t="shared" si="4"/>
        <v>0.58168316831683164</v>
      </c>
      <c r="AK22" s="176">
        <f>+(AJ22+AJ23+AJ24)/3</f>
        <v>0.86056105610561051</v>
      </c>
      <c r="AL22" s="191"/>
      <c r="AM22" s="27" t="s">
        <v>92</v>
      </c>
      <c r="AN22" s="182" t="s">
        <v>162</v>
      </c>
      <c r="AO22" s="118" t="s">
        <v>95</v>
      </c>
      <c r="AP22" s="118" t="s">
        <v>95</v>
      </c>
      <c r="AQ22" s="118" t="s">
        <v>94</v>
      </c>
      <c r="AR22" s="120" t="s">
        <v>94</v>
      </c>
      <c r="AS22" s="63" t="s">
        <v>220</v>
      </c>
      <c r="AT22" s="64" t="s">
        <v>201</v>
      </c>
      <c r="AU22" s="65">
        <v>55500000</v>
      </c>
      <c r="AV22" s="66">
        <v>55500000</v>
      </c>
      <c r="AW22" s="207">
        <f>+((AV22+AV23)/(AU22+AU23))</f>
        <v>1</v>
      </c>
      <c r="AX22" s="58" t="s">
        <v>104</v>
      </c>
      <c r="AY22" s="19" t="s">
        <v>159</v>
      </c>
      <c r="AZ22" s="19" t="s">
        <v>194</v>
      </c>
      <c r="BA22" s="30"/>
      <c r="BB22" s="122"/>
      <c r="BC22" s="84" t="s">
        <v>195</v>
      </c>
    </row>
    <row r="23" spans="1:55" ht="115.5" customHeight="1" x14ac:dyDescent="0.25">
      <c r="A23" s="136"/>
      <c r="B23" s="140"/>
      <c r="C23" s="144"/>
      <c r="D23" s="144"/>
      <c r="E23" s="144"/>
      <c r="F23" s="161"/>
      <c r="G23" s="161"/>
      <c r="H23" s="161"/>
      <c r="I23" s="149"/>
      <c r="J23" s="13" t="s">
        <v>53</v>
      </c>
      <c r="K23" s="14">
        <v>3200</v>
      </c>
      <c r="L23" s="28" t="s">
        <v>154</v>
      </c>
      <c r="M23" s="104">
        <f>857+1211</f>
        <v>2068</v>
      </c>
      <c r="N23" s="7">
        <v>666</v>
      </c>
      <c r="O23" s="7">
        <v>774</v>
      </c>
      <c r="P23" s="7">
        <v>880</v>
      </c>
      <c r="Q23" s="7">
        <v>880</v>
      </c>
      <c r="R23" s="8">
        <v>0</v>
      </c>
      <c r="S23" s="8">
        <v>0</v>
      </c>
      <c r="T23" s="41">
        <v>466</v>
      </c>
      <c r="U23" s="39">
        <v>344</v>
      </c>
      <c r="V23" s="31">
        <f t="shared" si="0"/>
        <v>0.92045454545454541</v>
      </c>
      <c r="W23" s="106">
        <f t="shared" si="1"/>
        <v>2878</v>
      </c>
      <c r="X23" s="31">
        <f t="shared" si="3"/>
        <v>0.89937500000000004</v>
      </c>
      <c r="Y23" s="116"/>
      <c r="Z23" s="153"/>
      <c r="AA23" s="8">
        <v>0</v>
      </c>
      <c r="AB23" s="8">
        <v>0</v>
      </c>
      <c r="AC23" s="43">
        <v>466</v>
      </c>
      <c r="AD23" s="44">
        <v>344</v>
      </c>
      <c r="AE23" s="9">
        <f t="shared" si="2"/>
        <v>810</v>
      </c>
      <c r="AF23" s="16" t="s">
        <v>85</v>
      </c>
      <c r="AG23" s="18">
        <f>857</f>
        <v>857</v>
      </c>
      <c r="AH23" s="18">
        <v>1211</v>
      </c>
      <c r="AI23" s="17">
        <f>880-191-437</f>
        <v>252</v>
      </c>
      <c r="AJ23" s="26">
        <v>1</v>
      </c>
      <c r="AK23" s="177"/>
      <c r="AL23" s="191"/>
      <c r="AM23" s="27" t="s">
        <v>92</v>
      </c>
      <c r="AN23" s="183"/>
      <c r="AO23" s="119"/>
      <c r="AP23" s="119"/>
      <c r="AQ23" s="119"/>
      <c r="AR23" s="121"/>
      <c r="AS23" s="201" t="s">
        <v>221</v>
      </c>
      <c r="AT23" s="203" t="s">
        <v>203</v>
      </c>
      <c r="AU23" s="205">
        <v>90000000</v>
      </c>
      <c r="AV23" s="205">
        <v>90000000</v>
      </c>
      <c r="AW23" s="244"/>
      <c r="AX23" s="58" t="s">
        <v>105</v>
      </c>
      <c r="AY23" s="19" t="s">
        <v>159</v>
      </c>
      <c r="AZ23" s="19" t="s">
        <v>169</v>
      </c>
      <c r="BA23" s="30"/>
      <c r="BB23" s="122"/>
      <c r="BC23" s="84" t="s">
        <v>193</v>
      </c>
    </row>
    <row r="24" spans="1:55" ht="102" customHeight="1" thickBot="1" x14ac:dyDescent="0.3">
      <c r="A24" s="136"/>
      <c r="B24" s="140"/>
      <c r="C24" s="144"/>
      <c r="D24" s="144"/>
      <c r="E24" s="144"/>
      <c r="F24" s="161"/>
      <c r="G24" s="161"/>
      <c r="H24" s="161"/>
      <c r="I24" s="149"/>
      <c r="J24" s="13" t="s">
        <v>54</v>
      </c>
      <c r="K24" s="14">
        <v>1219</v>
      </c>
      <c r="L24" s="1" t="s">
        <v>155</v>
      </c>
      <c r="M24" s="24">
        <f>377+114</f>
        <v>491</v>
      </c>
      <c r="N24" s="7">
        <v>255</v>
      </c>
      <c r="O24" s="7">
        <v>294</v>
      </c>
      <c r="P24" s="7">
        <v>335</v>
      </c>
      <c r="Q24" s="7">
        <v>335</v>
      </c>
      <c r="R24" s="8">
        <v>0</v>
      </c>
      <c r="S24" s="8">
        <v>0</v>
      </c>
      <c r="T24" s="41">
        <v>37</v>
      </c>
      <c r="U24" s="39">
        <v>765</v>
      </c>
      <c r="V24" s="31">
        <f t="shared" si="0"/>
        <v>2.3940298507462687</v>
      </c>
      <c r="W24" s="106">
        <f t="shared" si="1"/>
        <v>1293</v>
      </c>
      <c r="X24" s="31">
        <v>1</v>
      </c>
      <c r="Y24" s="116"/>
      <c r="Z24" s="153"/>
      <c r="AA24" s="8">
        <v>0</v>
      </c>
      <c r="AB24" s="8">
        <v>0</v>
      </c>
      <c r="AC24" s="43">
        <v>37</v>
      </c>
      <c r="AD24" s="44">
        <v>765</v>
      </c>
      <c r="AE24" s="9">
        <f t="shared" si="2"/>
        <v>802</v>
      </c>
      <c r="AF24" s="16" t="s">
        <v>86</v>
      </c>
      <c r="AG24" s="22">
        <f>377</f>
        <v>377</v>
      </c>
      <c r="AH24" s="22">
        <v>114</v>
      </c>
      <c r="AI24" s="17">
        <f>335-122+180</f>
        <v>393</v>
      </c>
      <c r="AJ24" s="26">
        <v>1</v>
      </c>
      <c r="AK24" s="178"/>
      <c r="AL24" s="191"/>
      <c r="AM24" s="27" t="s">
        <v>92</v>
      </c>
      <c r="AN24" s="184"/>
      <c r="AO24" s="119"/>
      <c r="AP24" s="119"/>
      <c r="AQ24" s="119"/>
      <c r="AR24" s="121"/>
      <c r="AS24" s="202"/>
      <c r="AT24" s="204"/>
      <c r="AU24" s="206"/>
      <c r="AV24" s="206"/>
      <c r="AW24" s="208"/>
      <c r="AX24" s="58" t="s">
        <v>106</v>
      </c>
      <c r="AY24" s="19" t="s">
        <v>159</v>
      </c>
      <c r="AZ24" s="19" t="s">
        <v>170</v>
      </c>
      <c r="BA24" s="30"/>
      <c r="BB24" s="122"/>
      <c r="BC24" s="84" t="s">
        <v>192</v>
      </c>
    </row>
    <row r="25" spans="1:55" ht="68.25" customHeight="1" x14ac:dyDescent="0.25">
      <c r="A25" s="136"/>
      <c r="B25" s="140"/>
      <c r="C25" s="144"/>
      <c r="D25" s="144"/>
      <c r="E25" s="144"/>
      <c r="F25" s="161"/>
      <c r="G25" s="161"/>
      <c r="H25" s="161"/>
      <c r="I25" s="150" t="s">
        <v>36</v>
      </c>
      <c r="J25" s="20" t="s">
        <v>55</v>
      </c>
      <c r="K25" s="21">
        <v>3</v>
      </c>
      <c r="L25" s="1">
        <v>0</v>
      </c>
      <c r="M25" s="24">
        <v>2</v>
      </c>
      <c r="N25" s="7">
        <v>0</v>
      </c>
      <c r="O25" s="7">
        <v>1</v>
      </c>
      <c r="P25" s="7">
        <v>1</v>
      </c>
      <c r="Q25" s="7">
        <v>1</v>
      </c>
      <c r="R25" s="8">
        <v>0</v>
      </c>
      <c r="S25" s="8">
        <v>0</v>
      </c>
      <c r="T25" s="41">
        <v>0</v>
      </c>
      <c r="U25" s="39">
        <v>0</v>
      </c>
      <c r="V25" s="31">
        <f t="shared" si="0"/>
        <v>0</v>
      </c>
      <c r="W25" s="106">
        <f t="shared" si="1"/>
        <v>2</v>
      </c>
      <c r="X25" s="31">
        <f t="shared" si="3"/>
        <v>0.66666666666666663</v>
      </c>
      <c r="Y25" s="116">
        <f>AVERAGE(X25:X28)</f>
        <v>0.71008182698802036</v>
      </c>
      <c r="Z25" s="154" t="s">
        <v>68</v>
      </c>
      <c r="AA25" s="8">
        <v>0</v>
      </c>
      <c r="AB25" s="8">
        <v>0</v>
      </c>
      <c r="AC25" s="43">
        <v>0</v>
      </c>
      <c r="AD25" s="44">
        <v>0</v>
      </c>
      <c r="AE25" s="9">
        <f t="shared" si="2"/>
        <v>0</v>
      </c>
      <c r="AF25" s="16" t="s">
        <v>87</v>
      </c>
      <c r="AG25" s="22">
        <v>2</v>
      </c>
      <c r="AH25" s="24">
        <v>2</v>
      </c>
      <c r="AI25" s="17">
        <v>1</v>
      </c>
      <c r="AJ25" s="26">
        <f t="shared" si="4"/>
        <v>0</v>
      </c>
      <c r="AK25" s="176">
        <f>+(AJ25+AJ26+AJ27+AJ28)/4</f>
        <v>0.27217409240924095</v>
      </c>
      <c r="AL25" s="191"/>
      <c r="AM25" s="27" t="s">
        <v>92</v>
      </c>
      <c r="AN25" s="182" t="s">
        <v>162</v>
      </c>
      <c r="AO25" s="118" t="s">
        <v>95</v>
      </c>
      <c r="AP25" s="118" t="s">
        <v>95</v>
      </c>
      <c r="AQ25" s="118" t="s">
        <v>94</v>
      </c>
      <c r="AR25" s="120" t="s">
        <v>94</v>
      </c>
      <c r="AS25" s="252" t="s">
        <v>223</v>
      </c>
      <c r="AT25" s="252" t="s">
        <v>201</v>
      </c>
      <c r="AU25" s="254">
        <v>62600000</v>
      </c>
      <c r="AV25" s="254">
        <v>60600000</v>
      </c>
      <c r="AW25" s="250">
        <f>+((AV25+AV27)/(AU25+AU27))</f>
        <v>0.9456210878112713</v>
      </c>
      <c r="AX25" s="19" t="s">
        <v>109</v>
      </c>
      <c r="AY25" s="19" t="s">
        <v>159</v>
      </c>
      <c r="AZ25" s="19" t="s">
        <v>159</v>
      </c>
      <c r="BA25" s="30"/>
      <c r="BB25" s="122"/>
      <c r="BC25" s="84" t="s">
        <v>159</v>
      </c>
    </row>
    <row r="26" spans="1:55" ht="126" x14ac:dyDescent="0.25">
      <c r="A26" s="136"/>
      <c r="B26" s="140"/>
      <c r="C26" s="144"/>
      <c r="D26" s="144"/>
      <c r="E26" s="144"/>
      <c r="F26" s="161"/>
      <c r="G26" s="161"/>
      <c r="H26" s="161"/>
      <c r="I26" s="151"/>
      <c r="J26" s="25" t="s">
        <v>56</v>
      </c>
      <c r="K26" s="21">
        <v>9377</v>
      </c>
      <c r="L26" s="2">
        <v>10993</v>
      </c>
      <c r="M26" s="104">
        <f>0+1300</f>
        <v>1300</v>
      </c>
      <c r="N26" s="7">
        <v>0</v>
      </c>
      <c r="O26" s="7">
        <v>2919</v>
      </c>
      <c r="P26" s="7">
        <v>3229</v>
      </c>
      <c r="Q26" s="7">
        <v>3229</v>
      </c>
      <c r="R26" s="8">
        <v>430</v>
      </c>
      <c r="S26" s="8">
        <v>0</v>
      </c>
      <c r="T26" s="41">
        <v>0</v>
      </c>
      <c r="U26" s="39">
        <v>0</v>
      </c>
      <c r="V26" s="31">
        <f t="shared" si="0"/>
        <v>0.13316816351811706</v>
      </c>
      <c r="W26" s="106">
        <f t="shared" si="1"/>
        <v>1730</v>
      </c>
      <c r="X26" s="31">
        <f t="shared" si="3"/>
        <v>0.184493974618748</v>
      </c>
      <c r="Y26" s="116"/>
      <c r="Z26" s="153"/>
      <c r="AA26" s="8">
        <v>430</v>
      </c>
      <c r="AB26" s="8">
        <v>0</v>
      </c>
      <c r="AC26" s="43">
        <v>0</v>
      </c>
      <c r="AD26" s="44">
        <v>0</v>
      </c>
      <c r="AE26" s="9">
        <f t="shared" si="2"/>
        <v>430</v>
      </c>
      <c r="AF26" s="16" t="s">
        <v>88</v>
      </c>
      <c r="AG26" s="18">
        <f>0</f>
        <v>0</v>
      </c>
      <c r="AH26" s="18">
        <v>1300</v>
      </c>
      <c r="AI26" s="17">
        <f>3229+(2919-1300)</f>
        <v>4848</v>
      </c>
      <c r="AJ26" s="26">
        <f t="shared" si="4"/>
        <v>8.8696369636963701E-2</v>
      </c>
      <c r="AK26" s="177"/>
      <c r="AL26" s="191"/>
      <c r="AM26" s="27" t="s">
        <v>92</v>
      </c>
      <c r="AN26" s="183"/>
      <c r="AO26" s="119"/>
      <c r="AP26" s="119"/>
      <c r="AQ26" s="119"/>
      <c r="AR26" s="121"/>
      <c r="AS26" s="253"/>
      <c r="AT26" s="253"/>
      <c r="AU26" s="255"/>
      <c r="AV26" s="255"/>
      <c r="AW26" s="251"/>
      <c r="AX26" s="19" t="s">
        <v>114</v>
      </c>
      <c r="AY26" s="19" t="s">
        <v>159</v>
      </c>
      <c r="AZ26" s="19" t="s">
        <v>159</v>
      </c>
      <c r="BA26" s="30"/>
      <c r="BB26" s="122"/>
      <c r="BC26" s="84" t="s">
        <v>159</v>
      </c>
    </row>
    <row r="27" spans="1:55" ht="144" x14ac:dyDescent="0.25">
      <c r="A27" s="136"/>
      <c r="B27" s="140"/>
      <c r="C27" s="144"/>
      <c r="D27" s="144"/>
      <c r="E27" s="144"/>
      <c r="F27" s="161"/>
      <c r="G27" s="161"/>
      <c r="H27" s="161"/>
      <c r="I27" s="151"/>
      <c r="J27" s="25" t="s">
        <v>57</v>
      </c>
      <c r="K27" s="21">
        <v>2494</v>
      </c>
      <c r="L27" s="28" t="s">
        <v>156</v>
      </c>
      <c r="M27" s="104">
        <f>657+1227</f>
        <v>1884</v>
      </c>
      <c r="N27" s="7">
        <v>520</v>
      </c>
      <c r="O27" s="7">
        <v>603</v>
      </c>
      <c r="P27" s="7">
        <v>685</v>
      </c>
      <c r="Q27" s="7">
        <v>686</v>
      </c>
      <c r="R27" s="8">
        <v>0</v>
      </c>
      <c r="S27" s="8">
        <v>0</v>
      </c>
      <c r="T27" s="41">
        <v>783</v>
      </c>
      <c r="U27" s="39">
        <v>879</v>
      </c>
      <c r="V27" s="31">
        <f t="shared" si="0"/>
        <v>2.4262773722627737</v>
      </c>
      <c r="W27" s="106">
        <f t="shared" si="1"/>
        <v>3546</v>
      </c>
      <c r="X27" s="31">
        <v>1</v>
      </c>
      <c r="Y27" s="116"/>
      <c r="Z27" s="153"/>
      <c r="AA27" s="8">
        <v>0</v>
      </c>
      <c r="AB27" s="8">
        <v>0</v>
      </c>
      <c r="AC27" s="43">
        <v>783</v>
      </c>
      <c r="AD27" s="44">
        <v>879</v>
      </c>
      <c r="AE27" s="9">
        <f t="shared" si="2"/>
        <v>1662</v>
      </c>
      <c r="AF27" s="16" t="s">
        <v>89</v>
      </c>
      <c r="AG27" s="18">
        <f>657</f>
        <v>657</v>
      </c>
      <c r="AH27" s="18">
        <v>1227</v>
      </c>
      <c r="AI27" s="17">
        <v>610</v>
      </c>
      <c r="AJ27" s="26">
        <v>1</v>
      </c>
      <c r="AK27" s="177"/>
      <c r="AL27" s="191"/>
      <c r="AM27" s="27" t="s">
        <v>92</v>
      </c>
      <c r="AN27" s="183"/>
      <c r="AO27" s="119"/>
      <c r="AP27" s="119"/>
      <c r="AQ27" s="119"/>
      <c r="AR27" s="121"/>
      <c r="AS27" s="203" t="s">
        <v>224</v>
      </c>
      <c r="AT27" s="203" t="s">
        <v>203</v>
      </c>
      <c r="AU27" s="205">
        <v>90000000</v>
      </c>
      <c r="AV27" s="205">
        <v>83701778</v>
      </c>
      <c r="AW27" s="251"/>
      <c r="AX27" s="19" t="s">
        <v>110</v>
      </c>
      <c r="AY27" s="19" t="s">
        <v>159</v>
      </c>
      <c r="AZ27" s="19" t="s">
        <v>171</v>
      </c>
      <c r="BA27" s="30"/>
      <c r="BB27" s="122"/>
      <c r="BC27" s="84" t="s">
        <v>191</v>
      </c>
    </row>
    <row r="28" spans="1:55" ht="108.75" thickBot="1" x14ac:dyDescent="0.3">
      <c r="A28" s="136"/>
      <c r="B28" s="140"/>
      <c r="C28" s="144"/>
      <c r="D28" s="144"/>
      <c r="E28" s="144"/>
      <c r="F28" s="161"/>
      <c r="G28" s="161"/>
      <c r="H28" s="161"/>
      <c r="I28" s="151"/>
      <c r="J28" s="25" t="s">
        <v>58</v>
      </c>
      <c r="K28" s="21">
        <v>1200</v>
      </c>
      <c r="L28" s="1">
        <v>0</v>
      </c>
      <c r="M28" s="103">
        <v>1187</v>
      </c>
      <c r="N28" s="7">
        <v>0</v>
      </c>
      <c r="O28" s="7">
        <v>374</v>
      </c>
      <c r="P28" s="7">
        <v>413</v>
      </c>
      <c r="Q28" s="7">
        <v>413</v>
      </c>
      <c r="R28" s="8">
        <v>0</v>
      </c>
      <c r="S28" s="8">
        <v>0</v>
      </c>
      <c r="T28" s="41">
        <v>0</v>
      </c>
      <c r="U28" s="39">
        <v>0</v>
      </c>
      <c r="V28" s="31">
        <f t="shared" si="0"/>
        <v>0</v>
      </c>
      <c r="W28" s="106">
        <f t="shared" si="1"/>
        <v>1187</v>
      </c>
      <c r="X28" s="31">
        <f t="shared" si="3"/>
        <v>0.98916666666666664</v>
      </c>
      <c r="Y28" s="116"/>
      <c r="Z28" s="153"/>
      <c r="AA28" s="8">
        <v>0</v>
      </c>
      <c r="AB28" s="8">
        <v>0</v>
      </c>
      <c r="AC28" s="43"/>
      <c r="AD28" s="44">
        <v>0</v>
      </c>
      <c r="AE28" s="9">
        <f t="shared" si="2"/>
        <v>0</v>
      </c>
      <c r="AF28" s="16" t="s">
        <v>90</v>
      </c>
      <c r="AG28" s="6">
        <v>1187</v>
      </c>
      <c r="AH28" s="6">
        <v>1187</v>
      </c>
      <c r="AI28" s="17">
        <v>13</v>
      </c>
      <c r="AJ28" s="26">
        <f t="shared" si="4"/>
        <v>0</v>
      </c>
      <c r="AK28" s="178"/>
      <c r="AL28" s="191"/>
      <c r="AM28" s="27" t="s">
        <v>92</v>
      </c>
      <c r="AN28" s="184"/>
      <c r="AO28" s="119"/>
      <c r="AP28" s="119"/>
      <c r="AQ28" s="119"/>
      <c r="AR28" s="121"/>
      <c r="AS28" s="256"/>
      <c r="AT28" s="256"/>
      <c r="AU28" s="257"/>
      <c r="AV28" s="257"/>
      <c r="AW28" s="251"/>
      <c r="AX28" s="19" t="s">
        <v>111</v>
      </c>
      <c r="AY28" s="19" t="s">
        <v>159</v>
      </c>
      <c r="AZ28" s="19" t="s">
        <v>159</v>
      </c>
      <c r="BA28" s="30"/>
      <c r="BB28" s="122"/>
      <c r="BC28" s="84" t="s">
        <v>159</v>
      </c>
    </row>
    <row r="29" spans="1:55" ht="118.5" customHeight="1" x14ac:dyDescent="0.25">
      <c r="A29" s="137"/>
      <c r="B29" s="141"/>
      <c r="C29" s="145"/>
      <c r="D29" s="145"/>
      <c r="E29" s="145"/>
      <c r="F29" s="161"/>
      <c r="G29" s="161"/>
      <c r="H29" s="161"/>
      <c r="I29" s="258" t="s">
        <v>37</v>
      </c>
      <c r="J29" s="260" t="s">
        <v>59</v>
      </c>
      <c r="K29" s="262">
        <v>1</v>
      </c>
      <c r="L29" s="235" t="s">
        <v>157</v>
      </c>
      <c r="M29" s="222">
        <v>0.33</v>
      </c>
      <c r="N29" s="7"/>
      <c r="O29" s="7"/>
      <c r="P29" s="220">
        <v>0.25</v>
      </c>
      <c r="Q29" s="7"/>
      <c r="R29" s="222">
        <v>0</v>
      </c>
      <c r="S29" s="222">
        <v>0</v>
      </c>
      <c r="T29" s="224">
        <v>0.2</v>
      </c>
      <c r="U29" s="226">
        <v>0.35</v>
      </c>
      <c r="V29" s="111">
        <f>(+R29+S29+T29+U29)/P29</f>
        <v>2.2000000000000002</v>
      </c>
      <c r="W29" s="114">
        <f>+M29+R29+S29+T29+U29</f>
        <v>0.88</v>
      </c>
      <c r="X29" s="116">
        <f t="shared" si="3"/>
        <v>0.88</v>
      </c>
      <c r="Y29" s="111">
        <f>+X29</f>
        <v>0.88</v>
      </c>
      <c r="Z29" s="228" t="s">
        <v>69</v>
      </c>
      <c r="AA29" s="222">
        <v>0</v>
      </c>
      <c r="AB29" s="222">
        <v>0</v>
      </c>
      <c r="AC29" s="231">
        <v>0.2</v>
      </c>
      <c r="AD29" s="233">
        <v>0.35000000000000003</v>
      </c>
      <c r="AE29" s="235">
        <f>+AA29+AB29+AC29+AD29</f>
        <v>0.55000000000000004</v>
      </c>
      <c r="AF29" s="228" t="s">
        <v>91</v>
      </c>
      <c r="AG29" s="6"/>
      <c r="AH29" s="6"/>
      <c r="AI29" s="276">
        <f>0.25+(0.33-0.25)+0.25</f>
        <v>0.58000000000000007</v>
      </c>
      <c r="AJ29" s="239">
        <f>+(AE29/AI29)</f>
        <v>0.94827586206896552</v>
      </c>
      <c r="AK29" s="176">
        <f>+AJ29</f>
        <v>0.94827586206896552</v>
      </c>
      <c r="AL29" s="191"/>
      <c r="AM29" s="27"/>
      <c r="AN29" s="54"/>
      <c r="AO29" s="73"/>
      <c r="AP29" s="73"/>
      <c r="AQ29" s="73"/>
      <c r="AR29" s="74"/>
      <c r="AS29" s="75" t="s">
        <v>225</v>
      </c>
      <c r="AT29" s="76" t="s">
        <v>226</v>
      </c>
      <c r="AU29" s="66">
        <v>1284600000</v>
      </c>
      <c r="AV29" s="66">
        <v>1280000000</v>
      </c>
      <c r="AW29" s="207">
        <f>+((AV29+AV30)/(AU29+AU30))</f>
        <v>0.98601859875318787</v>
      </c>
      <c r="AX29" s="58"/>
      <c r="AY29" s="19"/>
      <c r="AZ29" s="19"/>
      <c r="BA29" s="30"/>
      <c r="BB29" s="122"/>
      <c r="BC29" s="84"/>
    </row>
    <row r="30" spans="1:55" ht="123" customHeight="1" thickBot="1" x14ac:dyDescent="0.3">
      <c r="A30" s="138"/>
      <c r="B30" s="142"/>
      <c r="C30" s="146"/>
      <c r="D30" s="146"/>
      <c r="E30" s="146"/>
      <c r="F30" s="162"/>
      <c r="G30" s="162"/>
      <c r="H30" s="162"/>
      <c r="I30" s="259"/>
      <c r="J30" s="261"/>
      <c r="K30" s="263"/>
      <c r="L30" s="264"/>
      <c r="M30" s="265"/>
      <c r="N30" s="89">
        <v>0.25</v>
      </c>
      <c r="O30" s="89">
        <v>0.25</v>
      </c>
      <c r="P30" s="266"/>
      <c r="Q30" s="89">
        <v>0.25</v>
      </c>
      <c r="R30" s="265"/>
      <c r="S30" s="265"/>
      <c r="T30" s="267"/>
      <c r="U30" s="272"/>
      <c r="V30" s="113"/>
      <c r="W30" s="115"/>
      <c r="X30" s="116"/>
      <c r="Y30" s="113"/>
      <c r="Z30" s="273"/>
      <c r="AA30" s="265"/>
      <c r="AB30" s="265"/>
      <c r="AC30" s="274"/>
      <c r="AD30" s="275"/>
      <c r="AE30" s="264"/>
      <c r="AF30" s="273"/>
      <c r="AG30" s="90">
        <v>0.33</v>
      </c>
      <c r="AH30" s="91">
        <v>0.33</v>
      </c>
      <c r="AI30" s="277"/>
      <c r="AJ30" s="268"/>
      <c r="AK30" s="178"/>
      <c r="AL30" s="192"/>
      <c r="AM30" s="92" t="s">
        <v>92</v>
      </c>
      <c r="AN30" s="93" t="s">
        <v>162</v>
      </c>
      <c r="AO30" s="94" t="s">
        <v>96</v>
      </c>
      <c r="AP30" s="94" t="s">
        <v>93</v>
      </c>
      <c r="AQ30" s="95">
        <v>200000000</v>
      </c>
      <c r="AR30" s="96">
        <v>44000000</v>
      </c>
      <c r="AS30" s="79" t="s">
        <v>227</v>
      </c>
      <c r="AT30" s="80" t="s">
        <v>203</v>
      </c>
      <c r="AU30" s="77">
        <v>127000000</v>
      </c>
      <c r="AV30" s="78">
        <v>111863854</v>
      </c>
      <c r="AW30" s="208"/>
      <c r="AX30" s="97" t="s">
        <v>107</v>
      </c>
      <c r="AY30" s="98" t="s">
        <v>160</v>
      </c>
      <c r="AZ30" s="99" t="s">
        <v>180</v>
      </c>
      <c r="BA30" s="100"/>
      <c r="BB30" s="123"/>
      <c r="BC30" s="101" t="s">
        <v>198</v>
      </c>
    </row>
    <row r="31" spans="1:55" ht="18.75" customHeight="1" thickBot="1" x14ac:dyDescent="0.3">
      <c r="BC31" s="40"/>
    </row>
    <row r="32" spans="1:55" ht="66" customHeight="1" thickBot="1" x14ac:dyDescent="0.3">
      <c r="W32" s="278" t="s">
        <v>231</v>
      </c>
      <c r="X32" s="279"/>
      <c r="Y32" s="108">
        <f>AVERAGE(Y5:Y30)</f>
        <v>0.78343077407509853</v>
      </c>
      <c r="AJ32" s="269" t="s">
        <v>228</v>
      </c>
      <c r="AK32" s="271"/>
      <c r="AL32" s="108">
        <f>AVERAGE(AK5:AK30)</f>
        <v>0.7124941885347964</v>
      </c>
      <c r="AS32" s="269" t="s">
        <v>119</v>
      </c>
      <c r="AT32" s="270"/>
      <c r="AU32" s="81">
        <f>SUM(AU5:AU30)</f>
        <v>2428413571</v>
      </c>
      <c r="AV32" s="81">
        <f>SUM(AV5:AV30)</f>
        <v>2307573446</v>
      </c>
      <c r="AW32" s="82">
        <f>+AV32/AU32</f>
        <v>0.95023906700116201</v>
      </c>
    </row>
    <row r="49" spans="34:34" x14ac:dyDescent="0.25">
      <c r="AH49" s="4">
        <f>0.66/1</f>
        <v>0.66</v>
      </c>
    </row>
  </sheetData>
  <mergeCells count="236">
    <mergeCell ref="T29:T30"/>
    <mergeCell ref="AJ29:AJ30"/>
    <mergeCell ref="AK29:AK30"/>
    <mergeCell ref="AW29:AW30"/>
    <mergeCell ref="AS32:AT32"/>
    <mergeCell ref="AJ32:AK32"/>
    <mergeCell ref="U29:U30"/>
    <mergeCell ref="Z29:Z30"/>
    <mergeCell ref="AA29:AA30"/>
    <mergeCell ref="AB29:AB30"/>
    <mergeCell ref="AC29:AC30"/>
    <mergeCell ref="AD29:AD30"/>
    <mergeCell ref="AE29:AE30"/>
    <mergeCell ref="AF29:AF30"/>
    <mergeCell ref="AI29:AI30"/>
    <mergeCell ref="W32:X32"/>
    <mergeCell ref="AS25:AS26"/>
    <mergeCell ref="AT25:AT26"/>
    <mergeCell ref="AU25:AU26"/>
    <mergeCell ref="AV25:AV26"/>
    <mergeCell ref="AS27:AS28"/>
    <mergeCell ref="AT27:AT28"/>
    <mergeCell ref="AU27:AU28"/>
    <mergeCell ref="AV27:AV28"/>
    <mergeCell ref="AW25:AW28"/>
    <mergeCell ref="AW13:AW14"/>
    <mergeCell ref="AS16:AS17"/>
    <mergeCell ref="AT16:AT17"/>
    <mergeCell ref="AU16:AU17"/>
    <mergeCell ref="AV16:AV17"/>
    <mergeCell ref="AW15:AW17"/>
    <mergeCell ref="AW18:AW19"/>
    <mergeCell ref="AS23:AS24"/>
    <mergeCell ref="AT23:AT24"/>
    <mergeCell ref="AU23:AU24"/>
    <mergeCell ref="AV23:AV24"/>
    <mergeCell ref="AW22:AW24"/>
    <mergeCell ref="AW20:AW21"/>
    <mergeCell ref="AP10:AP12"/>
    <mergeCell ref="AQ10:AQ12"/>
    <mergeCell ref="AR10:AR12"/>
    <mergeCell ref="AW10:AW12"/>
    <mergeCell ref="I13:I14"/>
    <mergeCell ref="J13:J14"/>
    <mergeCell ref="K13:K14"/>
    <mergeCell ref="L13:L14"/>
    <mergeCell ref="M13:M14"/>
    <mergeCell ref="P13:P14"/>
    <mergeCell ref="R13:R14"/>
    <mergeCell ref="S13:S14"/>
    <mergeCell ref="T13:T14"/>
    <mergeCell ref="U13:U14"/>
    <mergeCell ref="Z13:Z14"/>
    <mergeCell ref="AA13:AA14"/>
    <mergeCell ref="AB13:AB14"/>
    <mergeCell ref="AC13:AC14"/>
    <mergeCell ref="AD13:AD14"/>
    <mergeCell ref="AE13:AE14"/>
    <mergeCell ref="AF13:AF14"/>
    <mergeCell ref="AI13:AI14"/>
    <mergeCell ref="AJ13:AJ14"/>
    <mergeCell ref="AK13:AK14"/>
    <mergeCell ref="AS6:AS7"/>
    <mergeCell ref="AT6:AT7"/>
    <mergeCell ref="AU6:AU7"/>
    <mergeCell ref="AV6:AV7"/>
    <mergeCell ref="AW8:AW9"/>
    <mergeCell ref="I10:I12"/>
    <mergeCell ref="J11:J12"/>
    <mergeCell ref="K11:K12"/>
    <mergeCell ref="L11:L12"/>
    <mergeCell ref="M11:M12"/>
    <mergeCell ref="P11:P12"/>
    <mergeCell ref="R11:R12"/>
    <mergeCell ref="S11:S12"/>
    <mergeCell ref="T11:T12"/>
    <mergeCell ref="U11:U12"/>
    <mergeCell ref="Z10:Z12"/>
    <mergeCell ref="AA11:AA12"/>
    <mergeCell ref="AB11:AB12"/>
    <mergeCell ref="AC11:AC12"/>
    <mergeCell ref="AD11:AD12"/>
    <mergeCell ref="AE11:AE12"/>
    <mergeCell ref="AF11:AF12"/>
    <mergeCell ref="AI11:AI12"/>
    <mergeCell ref="AJ11:AJ12"/>
    <mergeCell ref="A1:BA1"/>
    <mergeCell ref="A2:BA2"/>
    <mergeCell ref="AP20:AP21"/>
    <mergeCell ref="AN22:AN24"/>
    <mergeCell ref="AR22:AR24"/>
    <mergeCell ref="K3:K4"/>
    <mergeCell ref="Q3:Q4"/>
    <mergeCell ref="AK20:AK21"/>
    <mergeCell ref="AK22:AK24"/>
    <mergeCell ref="AO3:AR3"/>
    <mergeCell ref="AS3:AS4"/>
    <mergeCell ref="AT3:AT4"/>
    <mergeCell ref="AW5:AW7"/>
    <mergeCell ref="V3:V4"/>
    <mergeCell ref="W3:W4"/>
    <mergeCell ref="AY3:AY4"/>
    <mergeCell ref="AM3:AM4"/>
    <mergeCell ref="AN3:AN4"/>
    <mergeCell ref="AK3:AK4"/>
    <mergeCell ref="AU3:AU4"/>
    <mergeCell ref="AV3:AV4"/>
    <mergeCell ref="AW3:AW4"/>
    <mergeCell ref="AF3:AI3"/>
    <mergeCell ref="AC3:AC4"/>
    <mergeCell ref="AK25:AK28"/>
    <mergeCell ref="AK5:AK7"/>
    <mergeCell ref="AK8:AK9"/>
    <mergeCell ref="AK15:AK17"/>
    <mergeCell ref="AK18:AK19"/>
    <mergeCell ref="AO25:AO28"/>
    <mergeCell ref="AN25:AN28"/>
    <mergeCell ref="AK10:AK12"/>
    <mergeCell ref="AM11:AM12"/>
    <mergeCell ref="AN10:AN12"/>
    <mergeCell ref="AO10:AO12"/>
    <mergeCell ref="AO20:AO21"/>
    <mergeCell ref="AL5:AL30"/>
    <mergeCell ref="AN5:AN7"/>
    <mergeCell ref="AN8:AN9"/>
    <mergeCell ref="AN15:AN17"/>
    <mergeCell ref="AN18:AN19"/>
    <mergeCell ref="AN20:AN21"/>
    <mergeCell ref="AA3:AA4"/>
    <mergeCell ref="Z3:Z4"/>
    <mergeCell ref="AB3:AB4"/>
    <mergeCell ref="AD3:AD4"/>
    <mergeCell ref="AX3:AX4"/>
    <mergeCell ref="AJ3:AJ4"/>
    <mergeCell ref="AE3:AE4"/>
    <mergeCell ref="F3:F4"/>
    <mergeCell ref="G3:G4"/>
    <mergeCell ref="I3:I4"/>
    <mergeCell ref="J3:J4"/>
    <mergeCell ref="U3:U4"/>
    <mergeCell ref="R3:R4"/>
    <mergeCell ref="S3:S4"/>
    <mergeCell ref="T3:T4"/>
    <mergeCell ref="AL3:AL4"/>
    <mergeCell ref="L5:L6"/>
    <mergeCell ref="H5:H30"/>
    <mergeCell ref="F5:F30"/>
    <mergeCell ref="G5:G30"/>
    <mergeCell ref="V11:V12"/>
    <mergeCell ref="A3:A4"/>
    <mergeCell ref="B3:B4"/>
    <mergeCell ref="C3:C4"/>
    <mergeCell ref="D3:D4"/>
    <mergeCell ref="E3:E4"/>
    <mergeCell ref="M3:M4"/>
    <mergeCell ref="N3:N4"/>
    <mergeCell ref="O3:O4"/>
    <mergeCell ref="P3:P4"/>
    <mergeCell ref="H3:H4"/>
    <mergeCell ref="L3:L4"/>
    <mergeCell ref="I29:I30"/>
    <mergeCell ref="J29:J30"/>
    <mergeCell ref="K29:K30"/>
    <mergeCell ref="L29:L30"/>
    <mergeCell ref="M29:M30"/>
    <mergeCell ref="P29:P30"/>
    <mergeCell ref="R29:R30"/>
    <mergeCell ref="S29:S30"/>
    <mergeCell ref="AP8:AP9"/>
    <mergeCell ref="AQ15:AQ17"/>
    <mergeCell ref="AQ18:AQ19"/>
    <mergeCell ref="AQ20:AQ21"/>
    <mergeCell ref="AQ22:AQ24"/>
    <mergeCell ref="A5:A30"/>
    <mergeCell ref="B5:B30"/>
    <mergeCell ref="C5:C30"/>
    <mergeCell ref="D5:D30"/>
    <mergeCell ref="E5:E30"/>
    <mergeCell ref="I20:I21"/>
    <mergeCell ref="I22:I24"/>
    <mergeCell ref="I25:I28"/>
    <mergeCell ref="Z5:Z7"/>
    <mergeCell ref="Z8:Z9"/>
    <mergeCell ref="Z15:Z17"/>
    <mergeCell ref="Z18:Z19"/>
    <mergeCell ref="Z20:Z21"/>
    <mergeCell ref="Z22:Z24"/>
    <mergeCell ref="Z25:Z28"/>
    <mergeCell ref="I5:I7"/>
    <mergeCell ref="I8:I9"/>
    <mergeCell ref="I15:I17"/>
    <mergeCell ref="I18:I19"/>
    <mergeCell ref="AQ25:AQ28"/>
    <mergeCell ref="AO15:AO17"/>
    <mergeCell ref="AR25:AR28"/>
    <mergeCell ref="AP25:AP28"/>
    <mergeCell ref="AQ5:AQ7"/>
    <mergeCell ref="AQ8:AQ9"/>
    <mergeCell ref="BB5:BB30"/>
    <mergeCell ref="AZ3:BB4"/>
    <mergeCell ref="BC3:BC4"/>
    <mergeCell ref="BA5:BA7"/>
    <mergeCell ref="AR5:AR7"/>
    <mergeCell ref="AR8:AR9"/>
    <mergeCell ref="AR15:AR17"/>
    <mergeCell ref="AR18:AR19"/>
    <mergeCell ref="AR20:AR21"/>
    <mergeCell ref="AP15:AP17"/>
    <mergeCell ref="AO18:AO19"/>
    <mergeCell ref="AP18:AP19"/>
    <mergeCell ref="AX5:AX7"/>
    <mergeCell ref="AO22:AO24"/>
    <mergeCell ref="AP22:AP24"/>
    <mergeCell ref="AO5:AO7"/>
    <mergeCell ref="AP5:AP7"/>
    <mergeCell ref="AO8:AO9"/>
    <mergeCell ref="W11:W12"/>
    <mergeCell ref="V13:V14"/>
    <mergeCell ref="W13:W14"/>
    <mergeCell ref="V29:V30"/>
    <mergeCell ref="W29:W30"/>
    <mergeCell ref="X3:X4"/>
    <mergeCell ref="Y3:Y4"/>
    <mergeCell ref="X11:X12"/>
    <mergeCell ref="X13:X14"/>
    <mergeCell ref="X29:X30"/>
    <mergeCell ref="Y5:Y7"/>
    <mergeCell ref="Y8:Y9"/>
    <mergeCell ref="Y10:Y12"/>
    <mergeCell ref="Y13:Y14"/>
    <mergeCell ref="Y15:Y17"/>
    <mergeCell ref="Y18:Y19"/>
    <mergeCell ref="Y20:Y21"/>
    <mergeCell ref="Y22:Y24"/>
    <mergeCell ref="Y25:Y28"/>
    <mergeCell ref="Y29:Y30"/>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ACCION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severiche monroy</dc:creator>
  <cp:lastModifiedBy>ester  garcia turizo</cp:lastModifiedBy>
  <dcterms:created xsi:type="dcterms:W3CDTF">2018-02-06T19:52:13Z</dcterms:created>
  <dcterms:modified xsi:type="dcterms:W3CDTF">2019-01-31T16:54:42Z</dcterms:modified>
</cp:coreProperties>
</file>