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garcia.CARTAGENA\Desktop\Evaluaciones Planes de accion 2018\"/>
    </mc:Choice>
  </mc:AlternateContent>
  <bookViews>
    <workbookView xWindow="0" yWindow="0" windowWidth="20490" windowHeight="5055"/>
  </bookViews>
  <sheets>
    <sheet name="FORMATO PLAN ACCION" sheetId="1" r:id="rId1"/>
  </sheets>
  <calcPr calcId="15251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I7" i="1" l="1"/>
  <c r="AD7" i="1"/>
  <c r="AC7" i="1"/>
  <c r="AM14" i="1"/>
  <c r="AL14" i="1"/>
  <c r="AN13" i="1"/>
  <c r="AN11" i="1"/>
  <c r="AN9" i="1"/>
  <c r="AN7" i="1"/>
  <c r="AN6" i="1"/>
  <c r="AN4" i="1"/>
  <c r="AN14" i="1"/>
  <c r="AI13" i="1"/>
  <c r="AJ13" i="1"/>
  <c r="AI9" i="1"/>
  <c r="AJ9" i="1"/>
  <c r="AG8" i="1"/>
  <c r="AI5" i="1"/>
  <c r="AI4" i="1"/>
  <c r="AH13" i="1"/>
  <c r="AH8" i="1"/>
  <c r="AI8" i="1"/>
  <c r="V11" i="1"/>
  <c r="W11" i="1"/>
  <c r="V8" i="1"/>
  <c r="W8" i="1"/>
  <c r="AJ4" i="1"/>
  <c r="G13" i="1"/>
  <c r="G11" i="1"/>
  <c r="Q11" i="1"/>
  <c r="R11" i="1"/>
  <c r="G9" i="1"/>
  <c r="G6" i="1"/>
  <c r="G7" i="1"/>
  <c r="Q7" i="1"/>
  <c r="R7" i="1"/>
  <c r="V7" i="1"/>
  <c r="W7" i="1"/>
  <c r="AH7" i="1"/>
  <c r="AJ7" i="1"/>
  <c r="AD6" i="1"/>
  <c r="AH6" i="1"/>
  <c r="G5" i="1"/>
  <c r="G4" i="1"/>
  <c r="F11" i="1"/>
  <c r="Q9" i="1"/>
  <c r="R9" i="1"/>
  <c r="AC4" i="1"/>
  <c r="AD4" i="1"/>
  <c r="AH4" i="1"/>
  <c r="Q6" i="1"/>
  <c r="R6" i="1"/>
  <c r="V6" i="1"/>
  <c r="W6" i="1"/>
  <c r="P4" i="1"/>
  <c r="Q4" i="1"/>
  <c r="R4" i="1"/>
  <c r="J11" i="1"/>
  <c r="AF11" i="1"/>
  <c r="AG11" i="1"/>
  <c r="AB11" i="1"/>
  <c r="AC11" i="1"/>
  <c r="AD11" i="1"/>
  <c r="AH11" i="1"/>
  <c r="AF8" i="1"/>
  <c r="AF6" i="1"/>
  <c r="AG6" i="1"/>
  <c r="AI6" i="1"/>
  <c r="AJ6" i="1"/>
  <c r="J5" i="1"/>
  <c r="AF5" i="1"/>
  <c r="AG5" i="1"/>
  <c r="AB5" i="1"/>
  <c r="AC5" i="1"/>
  <c r="AD5" i="1"/>
  <c r="AH5" i="1"/>
  <c r="J4" i="1"/>
  <c r="O13" i="1"/>
  <c r="O9" i="1"/>
  <c r="P5" i="1"/>
  <c r="O5" i="1"/>
  <c r="F13" i="1"/>
  <c r="P13" i="1"/>
  <c r="F7" i="1"/>
  <c r="F9" i="1"/>
  <c r="P9" i="1"/>
  <c r="F5" i="1"/>
  <c r="F4" i="1"/>
  <c r="AB9" i="1"/>
  <c r="AC9" i="1"/>
  <c r="AD9" i="1"/>
  <c r="AH9" i="1"/>
  <c r="AB7" i="1"/>
  <c r="N9" i="1"/>
  <c r="J13" i="1"/>
  <c r="J9" i="1"/>
  <c r="J7" i="1"/>
  <c r="AF7" i="1"/>
  <c r="V4" i="1"/>
  <c r="W4" i="1"/>
  <c r="V13" i="1"/>
  <c r="W13" i="1"/>
  <c r="AI11" i="1"/>
  <c r="AJ11" i="1"/>
  <c r="AJ14" i="1"/>
  <c r="AF9" i="1"/>
  <c r="Q5" i="1"/>
  <c r="R5" i="1"/>
  <c r="V5" i="1"/>
  <c r="W5" i="1"/>
  <c r="AF4" i="1"/>
  <c r="AG4" i="1"/>
  <c r="AF13" i="1"/>
  <c r="V9" i="1"/>
  <c r="W9" i="1"/>
  <c r="O4" i="1"/>
  <c r="S4" i="1"/>
</calcChain>
</file>

<file path=xl/sharedStrings.xml><?xml version="1.0" encoding="utf-8"?>
<sst xmlns="http://schemas.openxmlformats.org/spreadsheetml/2006/main" count="198" uniqueCount="160">
  <si>
    <t>(1) OBJETIVO</t>
  </si>
  <si>
    <t>(2) EJE ESTRATEGICO</t>
  </si>
  <si>
    <t>(3) LINEA ESTRATEGICA</t>
  </si>
  <si>
    <t>(4) PROGRAMA</t>
  </si>
  <si>
    <t>(5) META RESULTADO PLAN DE DESARROLLO</t>
  </si>
  <si>
    <t xml:space="preserve"> (5B)META RESULTADO EJECUTADA A JUNIO 30 </t>
  </si>
  <si>
    <t xml:space="preserve"> (5B)META RESULTADO EJECUTADA 31 DICIEMBRE </t>
  </si>
  <si>
    <t>(6) SUBPROGRAMA</t>
  </si>
  <si>
    <t>(7) META PRODUCTO PLAN DE DESARROLLO A 2019</t>
  </si>
  <si>
    <t>LINEA BASE A 2017 (ACUMULADO 2016+2017)</t>
  </si>
  <si>
    <t>META PRODUCTO 2016 SEGÚN PLAN INDICATIVO</t>
  </si>
  <si>
    <t>META PRODUCTO 2017 SEGÚN PLAN INDICATIVO</t>
  </si>
  <si>
    <t>META PRODUCTO 2018 SEGÚN PLAN INDICATIVO</t>
  </si>
  <si>
    <t>META PRODUCTO 2019 SEGÚN PLAN INDICATIVO</t>
  </si>
  <si>
    <t>(8B) META PRODUCTO EJECUTADA A MARZO DE 2018</t>
  </si>
  <si>
    <t>(8B) META PRODUCTO EJECUTADA A JUNIO DE 2018</t>
  </si>
  <si>
    <t>(8B) META PRODUCTO EJECUTADA A  SEPTIEMBRE DE 2018</t>
  </si>
  <si>
    <t>(8B) META PRODUCTO EJECUTADA A DICIEMBRE DE 2018</t>
  </si>
  <si>
    <t>AVANCE META PRODUCTO (PLANEACION UPDD)</t>
  </si>
  <si>
    <t>(9) PROYECTO</t>
  </si>
  <si>
    <t>(10) META PROYECTO</t>
  </si>
  <si>
    <t>(8B) META PROYECTO EJECUTADA A MARZO DE 2018</t>
  </si>
  <si>
    <t>(8B) META PROYECTO EJECUTADA A JUNIO DE 2018</t>
  </si>
  <si>
    <t>(8B) META PROYECTO EJECUTADA A  SEPTIEMBRE DE 2018</t>
  </si>
  <si>
    <t>(8B) META PROYECTO EJECUTADA A DICIEMBRE DE 2018</t>
  </si>
  <si>
    <t>(12) INDICADOR</t>
  </si>
  <si>
    <t>( 13) CRONOGRAMA PROGRAMADO</t>
  </si>
  <si>
    <t>( 14) RESPONSABLE</t>
  </si>
  <si>
    <t>(15) RECURSOS</t>
  </si>
  <si>
    <t>(16) OBSERVACIONES A MARZO</t>
  </si>
  <si>
    <t>(16) OBSERVACIONES A JUNIO</t>
  </si>
  <si>
    <t>(16) OBSERVACIONES A SEPTIEMBRE</t>
  </si>
  <si>
    <t>(16) OBSERVACIONES A DICIEMBRE</t>
  </si>
  <si>
    <t>(A) NOMBRE</t>
  </si>
  <si>
    <t>(B) VALOR A DIC 2017</t>
  </si>
  <si>
    <t>( C )VALOR A DICIEMBRE 31 DE 2018</t>
  </si>
  <si>
    <t>( A ) RUBRO PRESUPUESTAL</t>
  </si>
  <si>
    <t>( B) FUENTE</t>
  </si>
  <si>
    <t>( C ) MONTO</t>
  </si>
  <si>
    <t xml:space="preserve"> (D) MONTO EJECUTADO</t>
  </si>
  <si>
    <t>CONSTRUIR CIUDADANIA YFORTALECER LA INSTITUCIONALIDAD</t>
  </si>
  <si>
    <t>FORTALECIMIENTO INSTITUCIONAL</t>
  </si>
  <si>
    <t xml:space="preserve"> GESTIÓN PÚBLICA LOCAL TRANSPARENTE </t>
  </si>
  <si>
    <t xml:space="preserve">   FORTALECIMIENTO DE COMPETENCIAS DEL SERVIDOR PÚBLICO</t>
  </si>
  <si>
    <t xml:space="preserve">Incrementar en un 75 %
el fortalecimiento de
competencias de los
servidores públicos.                                                                                                             </t>
  </si>
  <si>
    <t>Fortalecimiento de competencia del servidor público</t>
  </si>
  <si>
    <t>Fortalecer a 769
servidores públicos en
sus competencias
(Ética, Buengobierno y
Liderazgo)</t>
  </si>
  <si>
    <t>Desarrollo de las competencias laborales de los servidores públicos del distrito de Cartagena</t>
  </si>
  <si>
    <t>fortalecer a 200 servidores públicos en sus competencias (ética, buen gobierno y liderazgo)</t>
  </si>
  <si>
    <t>Numero de Funcionarios públicos competentes para asumir su rol</t>
  </si>
  <si>
    <t>Febrero-Diciembre</t>
  </si>
  <si>
    <t>Robinson Mena</t>
  </si>
  <si>
    <t>02-001-06-50-03-03-01-01</t>
  </si>
  <si>
    <t>Ingresos Corrientes de Libre Destinación</t>
  </si>
  <si>
    <t xml:space="preserve">Alta Gerencia: 35                                                            Trabajo en equipo: 155                                                Se inicio Diplomado de Responsabilidad Disciplinaria en el Àmbito de la Contrataciòn Inicial y Diplomado en Violencia de Genero             </t>
  </si>
  <si>
    <t xml:space="preserve">Diplomado Derechos Humanos, Ética y Buen Gobierno, Curso de Inducción a la Alta Gerencia dictado al Alto Gobierno de la Alcaldía
Finanzas Públicas,Contratación Estatal
</t>
  </si>
  <si>
    <t>Ddiplomado Gestión a lo público:50. se dío en 9 sesiones.</t>
  </si>
  <si>
    <t>Aumentar en un 5% el
número anual de
ciudadanos atendidos
en el sistema integrado
de atención DE UNA</t>
  </si>
  <si>
    <t>Sistema integrado de atención DE UNA</t>
  </si>
  <si>
    <t>Atender 47.460
ciudadanos y
ciudadanas en los
centros de atención
unificada - DE UNA</t>
  </si>
  <si>
    <t>Fortalecimiento al sistema integrado unificado de atención al ciudadano "DE UNA" en la ciudad de Cartagena</t>
  </si>
  <si>
    <t>Atender 23.730 ciudadanos y ciudadanas en los centros de atención unificada - DE UNA</t>
  </si>
  <si>
    <t>Numero de Ciudadanos atendidos</t>
  </si>
  <si>
    <t>02-075-06-50-03-03-01-02</t>
  </si>
  <si>
    <t>Rendimientos Financieros SGP - Propósito General</t>
  </si>
  <si>
    <t>Asesorias: 585                                                      Atención al adulto mayor: 637                Cursos SENA: 154                                 Daviplata: 337                                                            Familias en Acción: 1797                                  SISBEN: 2550                                                         Juzgado de pequeñas causas:183                Jóvenes en acción: 89</t>
  </si>
  <si>
    <t>Asesorias:                                                       Atención al adulto mayor                Cursos SENA                                Daviplata                                                            Familias en Acción                                  SISBEN                                                         Juzgado de pequeñas causas                Jóvenes en acción</t>
  </si>
  <si>
    <t>Se logró una atención integral en adulto mayor, sisben, daviplata, jovenes en acción,SENA, juzgados, asesorias y citas psicologicas.</t>
  </si>
  <si>
    <t>GESTIÓN PÚBLICA LOCAL TRANSPARENTE</t>
  </si>
  <si>
    <t>Mejorar la posicion en el índice de Gobierno abierto en 25%, pasar del puesto 399 al 3(X).</t>
  </si>
  <si>
    <t>Encuentros con mi gente</t>
  </si>
  <si>
    <t>Realizar 4 encuentros
anuales con la
ciudadanía para
visibilizar la oferta de
servicios del Distrito.</t>
  </si>
  <si>
    <t>Implementación de espacios participativos de rendición de informes a la ciudadanía</t>
  </si>
  <si>
    <t>Realizar 4 encuentros con la ciudadanía para visibilizar la oferta de servicios del distrito.</t>
  </si>
  <si>
    <t>Número de encuentros realizados</t>
  </si>
  <si>
    <t>02-001-06-50-03-03-02-01</t>
  </si>
  <si>
    <t>Se programa para el mes de abril un encuentro por cada localidad,</t>
  </si>
  <si>
    <t>En el mes de Julio se programó uno</t>
  </si>
  <si>
    <t>_________</t>
  </si>
  <si>
    <t>CULTURA CIUDADANA Y PAZ</t>
  </si>
  <si>
    <t>EN ARMONIA CON MI GENTE</t>
  </si>
  <si>
    <t>Mejorar a un 60% el
índice de satisfacción
de la ciudad de
Cartagena como un
lugar para vivir.
Alcanzar el 100% lo
conformación de una
mesa de barrismo
social.</t>
  </si>
  <si>
    <t>Inclusión social y
buenas practicas
ciudadanas</t>
  </si>
  <si>
    <t>Lograr que 202.400
ciudadanos
adicionales se sientan
satisfechos con su
ciudad como un lugar
para vivir.</t>
  </si>
  <si>
    <t>INFORMACION NO DISPONIBLE</t>
  </si>
  <si>
    <t>Aportes a los procesos de cohesión e inclusión social en el distrito de Cartagena</t>
  </si>
  <si>
    <t>Fortalecer a 10,000 ciudadanos en procesos de cohesón e inclusión social</t>
  </si>
  <si>
    <t>Número de ciudadano que se encuentran satisfechos con cartagena como lugar para vivir</t>
  </si>
  <si>
    <t>02-001-06-50-03-04-01-01</t>
  </si>
  <si>
    <t>Intervenciones a jovenes en riesgo en compañía de SICC,                                           Inclusión de la mujer en compañía de la Gestora Social.                                   Inclusión a jóvenes y niños de comunidades afro en compañía de la Gestora Social.                   Inclusión de personas en condición de vulnerabilidad en compañia de la Gestora Social.                                                                          NOTA: La encuesta de medición de indiadores se ejecuta semestralmente, junio y diciembre de 2018                           Según la encuesta de percepción ciudadana Cartagena Coómo Vamos 2017, este indicador se encuentra en un 53%, que comparado con la línea base a 2015 ha crecido en 11 puntos porcentuales, lo equivale a un 26,19%</t>
  </si>
  <si>
    <t>Intervenciones: Formacion en instituciones educativas, intervenciones pedagogicas de educacion vial, actividades pedagogicas en las playas y en el centro historico                                                                                                NOTA: La encuesta de medición de indiadores se ejecuta semestralmente, junio y diciembre de 2018                           Según la encuesta de percepción ciudadana Cartagena Como Vamos 2017, este indicador se encuentra en un 53%, que comparado con la línea base a 2015 ha crecido en 11 puntos porcentuales, lo equivale a un 26,19%</t>
  </si>
  <si>
    <t>Intervenciones a jovenes en riesgo de el barrio santa rita y kennedy.                                   NOTA: La encuesta de medición de indiadores se ejecuta semestralmente, junio y diciembre de 2018</t>
  </si>
  <si>
    <t>Formación para el Cartagena
barrismo social y
buenas practicas
ciudadanas.</t>
  </si>
  <si>
    <t>Conformar una mesa
de barrismo social.</t>
  </si>
  <si>
    <t>Conformación y consolidación de la mesa de barrismo social: tribuna multicolor de paz y armonía en la ciudad de Cartagena</t>
  </si>
  <si>
    <t>Mantener una mesa de barrismo social constituida en la ciudad de Cartagena</t>
  </si>
  <si>
    <t>Número de mesas de barrismo social</t>
  </si>
  <si>
    <t>N.A.</t>
  </si>
  <si>
    <t>Mantenimiento de la mesa de Barrismo Social,</t>
  </si>
  <si>
    <t>LA DEMOCRACIA VA</t>
  </si>
  <si>
    <t>Fortalecer en un 70% las
Organizaciones comunales
activas para la construcción
de tejido asociativo.</t>
  </si>
  <si>
    <t>Liderazgo y
democracia</t>
  </si>
  <si>
    <t>Fortalecer 262
organizaciones
comunales activas
en construcción del
tejido social.</t>
  </si>
  <si>
    <t>Desarrollo de las competencias de liderazgo y tejido social en las organizaciones comunitarias en el distrito de Cartagena</t>
  </si>
  <si>
    <t>Fortalecer 66 organizaciones comunales activas en construcción del tejido social</t>
  </si>
  <si>
    <t>Número organizaciones comunales activas fortalecidas en la construcción de tejido social</t>
  </si>
  <si>
    <t>02-001-06-50-03-04-02-02</t>
  </si>
  <si>
    <t>Capacitación en:                                                        *  Decreto 0138                                                               * Educación en Cultura para la Preservación del medio ambiente                   * Presentación y socialización de la oferta institucional de la EGL                                                    * Formulación d proyectos</t>
  </si>
  <si>
    <t>Capacitacion en : DERECHOS FUNDAMENTALES DEL CIUDADANO Y ESTADO SOCIAL DE DERECHO, LEGISLACION COMUNAL, CONVIVENCIA Y RESOLUCION DE CONFLICTOS, CIUDADANIA ACTIVA CONSTRUYENDO CIUDADANIA, GESTION Y DESARROLLO LOCAL, PROTECCION AL CONSUMIDOR, EMPRENDIMIENTO, MERCADEO Y VENTAS.</t>
  </si>
  <si>
    <t>Concilio comunitario: capacitación en reciclaje,control social en los servicios públicos,socialización del proyecto de caños y lagunas,socialización de politica pública para los personeros. Personeros estudiantiles: socialización de politica pública. Curso concurso de oratoria: se dieron 3 encuentros de los modulos 2,3,4 en las 3 localidades.</t>
  </si>
  <si>
    <t>02-037-06-50-03-04-02-01</t>
  </si>
  <si>
    <t>Rendimientos Financieros ICLD</t>
  </si>
  <si>
    <t>Disminuir a un 30% el
reconocimiento de mal
comportamiento
ciudadano en los puntos</t>
  </si>
  <si>
    <t>Cultura ciudadana</t>
  </si>
  <si>
    <t>Reducir a 335.700 el
número de
ciudadanos que
reconocen mal
comportamiento en los
puntos de encuentro.</t>
  </si>
  <si>
    <t>Implementación del plan de formación en buenas prácticas de cultura ciudadana a los habitantes del Distrito Turístico y Cultural de Cartagena</t>
  </si>
  <si>
    <t>Fortalecer a 10,000 ciudadanos en buenas prácticas ciudadanas</t>
  </si>
  <si>
    <t>Número de ciudadanos que reconocen mal comportamiento en los puntos de encuentro</t>
  </si>
  <si>
    <t>02-001-06-50-03-04-03-01</t>
  </si>
  <si>
    <t>* Intervenciones en las IE: Promoción social, Colegio Mayor de Bolívar,  I. T. Comfenalco, José María Toledo.                               * Intervenciones en entidades privadas: Bancomeva                                                                             * Intervenciones en vías: Av. Venezuela, Centro, Parque d al Marina.                                                             NOTA: La encuesta de medición de indiadores se ejecuta semestralmente, junio y diciembre de 2018</t>
  </si>
  <si>
    <t>Intervenciones Programa Cultura Ciudadana: Prevencion de Violencia en Instituciones Educativas. Cultura Mente y Cuerpo a funcionarios.                                                                                                                           NOTA: La encuesta de medición de indiadores se ejecuta semestralmente, junio y diciembre de 2018</t>
  </si>
  <si>
    <t>Intervenciones en las comunidades: capacitaciones en cultura ciudadana y paz con 7 intervenciones. En Mi Playa limpia se desarrollaron los modulos 4,5,6,7,8,9,10, 11, 12, 13,14 y 15. Se hicieron intervenciones en Seguridad Vial en avenida venezuela, bodeguita, centro uno,cebra de la india catalina, muelle de la bodeguita, torre del reloj en el centro de cartagena. NOTA: La encuesta de medición de indiadores se ejecuta semestralmente, junio y diciembre de 2018</t>
  </si>
  <si>
    <t>03-037-06-50-03-04-03-01</t>
  </si>
  <si>
    <t xml:space="preserve">VOY CON CARTAGENA </t>
  </si>
  <si>
    <t>Aumentar en un 60% las
estrategias de promoción
y divulgación del
Patrimonio Material y la
Memoria Histórica de
Cartagena de Indias</t>
  </si>
  <si>
    <t>Ciudadanía y
pertenencia</t>
  </si>
  <si>
    <t>2.500 personas
fortalecidos con
valores de
conservación y
respeto por el
patrimonio de
Cartagena.</t>
  </si>
  <si>
    <t>Desarrollo del sentido de identidad y conservación del patrimonio material e inmaterial en los habitantes del distrito de Cartagena</t>
  </si>
  <si>
    <t>625 personas fortalecidos con valores de conservación y respeto por el patrimonio de Cartagena</t>
  </si>
  <si>
    <t>Número de ciudadanos que se identifican con su patrimonio</t>
  </si>
  <si>
    <t>02-037-06-50-03-04-04-01</t>
  </si>
  <si>
    <t>Intervenciones con la estrategia de lectura itinerante en la Carcel de San Diego, La Boquilla y Fredonia: 108</t>
  </si>
  <si>
    <t>Intervenciones pedagogicas en el centro historico</t>
  </si>
  <si>
    <t>Intervenciones pedagogicas con la estrategia vive cartagena</t>
  </si>
  <si>
    <t>1. Seminario TALLER PRÁCTICO SECOP II coordinado por la Escuela de Gobierno y Liderazgo dictado por la ESAP, dirigido a servidores públicos de la Alcaldía de Cartagena, participaron 35 perosnas, 2. Seminario PRESUPUESTO PUBLICO coordinado por la Escuela de Gobierno y Liderazgo y dictado por la ESAP, dirigido a servidores público de la Alcaldía de Cartagena, participaron 24 personas . 3. Diplomado de NORMAS INTERNACIONALES DE CONTABILIDAD DEL SECTOR PUBLICO (NICSP) coordinado por la Escuela de Gobierno y Liderazgo y dictado por  la ESAP, dirigido a servidores público de la Alcaldía de Cartagena, participaron 18  personas, 4. Concilio de Nuevo Modelo Integrado de Planeación y Gestión a la Alta Dirección ofrecido por la Escuela de Gobierno y liderazgos a la alta gerencia de la Alcaldia de Cartagena, participaron  70 personas. 5. Se realizo Encuesta de intereses y necesidades formativas del servidor público, para llevar a cabo el plan de capacitaciones, participacion personas.  para un total de participante # 464</t>
  </si>
  <si>
    <t>1)CONCILIO COMUNITARIO, TEMATICA:  COACHING ORGANIZACIONAL                  ADMINISTRACION PUBLICA, participaron 77 ong. 2) FORTALECIMIENTO A  ORGANIZACIONES DE JOVENES EN TEMAS: PROYECTO DE VIDA, CULTURA CIUDADANA, SOCIALIZACION POLITICA PUBLICA DE JUVENTUD, LIDERAZGO, participaron 18 ong . 3) I TLLER “METOTOLOGIA PARA LA FORMULACION Y EVALUACION DE PROYECTOS” participaron 54 ong, 4) II TLLER “METOTOLOGIA PARA LA FORMULACION Y EVALUACION DE PROYECTOS”, participaron 23 ong . 5)III TLLER “METOTOLOGIA PARA LA FORMULACION Y EVALUACION DE PROYECTOS” participaron 18ong. 6) IV TLLER  “METOTOLOGIA PARA LA FORMULACION Y EVALUACION DE PROYECTOS” MGA, participaron 12ong . 7)DIAGNOSTICO DE NECESIDADES DE CAPACITACION JAC.</t>
  </si>
  <si>
    <t xml:space="preserve">Se realizaron talleres en diferentes puntos de encuentro de cultura ciudadana así:
En el mes de Octubre se realizaron las siguiente actividades :1) Reunión coordinación plan de trabajo cultura ciudadana, en oficina, 7 participantes.2) Reunión coordinación plan de trabajo cultura ciudadana, en oficina 9 participantes. 3)Taller cultura ciudadana la paz cuestión de todos a madres cabeza de hogar en el barrio Olaya, 40 participantes. 4) Taller génesis de la cultura estudiantes aprendiz Comfamiliar, 92 asistentes. 5)  Reunión coordinación plan de trabajo cultura ciudadana, en oficina 09 participantes.6) Cultura ciudadana en las diferentes localidades en el marco del día internacional de la erradicación de la pobreza, 59 participantes. 7) Taller de prevención de la violencia a estudiantes de 10 y 11 grado del colegio comfamiliar, 200  participantes certificado.8) Reunión coordinación plan de trabajo cultura ciudadana, en oficina 06 participantes. 9) Taller cultura y cuerpo estudiantes SENA, 31 participantes. 10) Taller de cultura y cuerpo a las participantes al reinado de la independencia de Cartagena, 49 participantes. En el mes de Noviembre se realizaron las siguientes actividades 
11) Cultura y paz madres cabeza de hogar barrio Olaya herrera, 34 participantes. 12) Reunión coordinación plan de trabajo cultura ciudadana en escuela, 8 participantes.
13) Reunión equipo de cultura en Corpoturismo, 06 participantes.14) Reunión equipo de cultura con personal de transcaribe asunto creación clubes amigos, 15 participantes.
15) Reunión coordinación plan de trabajo cultura ciudadana en escuela, 7 participantes. 16) Reunión coordinación tares para inicio de talleres de cultura ciudadana a los diferentes clubes, 11 participantes. 17)  Reunión coordinación cultura ciudadana en escuela, 12 participantes.
18. Cultura ciudadana y patrimonio a emboladores centro histórico iconos, 15 participantes.19. Cultura ciudadana club adulto mayor, 10 participantes.
20. Cultura ciudadana club estudiantes, 11 participantes.
21. Cultura ciudadana y patrimonio a vendedores de raspados iconos, 30 participantes.
22. Cultura ciudadana y patrimonio a palenquearás centro histórico iconos, 48 participantes.
23. Cultura ciudadana club madres cabeza de hogar, 16 participantes.
24.   Reunión coordinación plan de trabajo cultura ciudadana en escuela 18 participantes.
25. Cultura ciudadana club deportistas, 13 participantes.
26. Clausura clubes amigos de transcaribe en patio portal dos  participantes.
          Diciembre: 
27. Reunión coordinación plan de trabajo cultura ciudadana en escuela 16 participantes.
28. Reunión coordinación plan de tareas fin de año cultura ciudadana en escuela 13 participantes.
29. Taller cultura ciudadana ambiental certificación a cultores ambientales, 38 participantes.
30. Cultura ciudadana y patrimonio a palenquearás para mesa de trabajo iconos. 50 participantes por certificado.
31. Cultura ciudadana y patrimonio a emboladores para mesa de trabajo iconos, 24 participantes.
32. Cultura ciudadana y patrimonio a vendedores de raspao para mesa de trabajo iconos, 25 participantes. 
 Se realizaron campañas de sensibilización a los transeúntes en la vía en diferentes puntos de la ciudad así:
Octubre:
33. Intervención en la cebra de la avenida Pedro de Heredia, centro comercial la castellana, 3 horas por 3 días a la semana, 1000 personas en promedio.
34. Campaña vial en patio portal (promedio aprox. 3800 días miércoles.
35. Campaña vial en centro comercial los ejecutivos 3 horas por 3 días a la semana, 800 personas en promedio. 
Noviembre:
36. Campaña vial en la cebra de la Iglesia María Auxiliadora,  (promedio aprox. 1200 transeúntes).
</t>
  </si>
  <si>
    <t>MATRIZ DE REPORTE DE AVANCES PLAN DE ACCIÓN Y PLAN DE DESARROLLO DICIEMBRE 2018</t>
  </si>
  <si>
    <t xml:space="preserve">se realizaron 2 encuentros en las novenas navideñas </t>
  </si>
  <si>
    <t xml:space="preserve">se realizo el diagnostico, la identificacion y se realizo la  solicitud para ela cto administrativo el cual se encuentra en secretaria general para darle paso a la  mesa barrial </t>
  </si>
  <si>
    <t>AVANCE METAS PRODUCTO DICIEMBRE 31-2018</t>
  </si>
  <si>
    <t>AVANCE ACUMULADO METAS PRODUCTO 2016-2018</t>
  </si>
  <si>
    <t xml:space="preserve">AVANCE META PROYECTO DICIEMBRE 2018 </t>
  </si>
  <si>
    <t>EVALUACION SEGÚN PLANEACION</t>
  </si>
  <si>
    <t>EVALUACION POR PROGRAMAS SEGÚN PLANEACION</t>
  </si>
  <si>
    <t>APROPIACION DEFINITIVA SEGÚN PREDIS</t>
  </si>
  <si>
    <t>EJECUTADO SEGÚN PREDIS</t>
  </si>
  <si>
    <t>PORCENTAJE EJECUTADO</t>
  </si>
  <si>
    <t>CODIGO</t>
  </si>
  <si>
    <t>RUBRO</t>
  </si>
  <si>
    <t>FUENTE</t>
  </si>
  <si>
    <t xml:space="preserve">APROPIACION </t>
  </si>
  <si>
    <t>COMPROMISOS</t>
  </si>
  <si>
    <t>SISTEMA INTEGRADO DE ATENCION DE UNA</t>
  </si>
  <si>
    <t>ENCUENTROS CON MI GENTE</t>
  </si>
  <si>
    <t>INCLUSION SOCIAL Y BUENAS PRACTICAS CIUDADANAS</t>
  </si>
  <si>
    <t>La democracia va</t>
  </si>
  <si>
    <t>Cultura Ciudadana</t>
  </si>
  <si>
    <t>VOY CON CARTAGENA</t>
  </si>
  <si>
    <t>)  Capacitación fortalecimiento en las normas de convivencia ciudadana a la ciudadanía del barrio pablo VII ,lugar Institución Ana maría Vélez sede pablo VII, participaron  120 personas. 2)  Campaña de libro ruta, entrega de los libros a la biblioteca de tierra bomba , lugar Biblioteca de tierra bomba , participaron 300 personas. 3) Curso de inglés a los nativos del corregimiento de tierra bomba , lugar Salón de eventos de la institución educativa de tierra bomba, participaron 35 personas. 4)  Lectura itinerante en la localidad uno apoyando la pobreza extrema , lugar En el colegio  José de la vega, participaron 40 personas. 5) Capacitación  fortalecimiento en los proceso de identidad, afro y cultural a la población de pablo VII, lugar Colegio Ana maría Pérez de Trujillo , participaron 117 personas  6) Fortalecimiento en los procesos de emprendimiento  de la comunidad afro de santa Rita, Salón de la fundación transformado corazones, participantes 80 ´personas  7) Formación en los proceso de identidad de la comunidad afro de loma fresca, lugar Salón de loma fresca, participantes 52 personas . 8) Capacitación de  proyecto de vida a los jóvenes de la fundación manos amigas , lugar Solón de la fundación  manos amiga, participaron 50 personas., del convenio lp-sicc-02-298 participantes de  47.206  personas ,   con el contrato de minima cuantia  No 004 de 2018,  se encuestaron 2,000 personas para un total de participantes de 59,402 personas.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</si>
</sst>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rgb="FFFF0000"/>
      <name val="Calibri"/>
      <family val="2"/>
      <scheme val="minor"/>
    </font>
    <font>
      <b/>
      <sz val="11"/>
      <name val="Arial"/>
      <family val="2"/>
    </font>
    <font>
      <b/>
      <sz val="11"/>
      <color rgb="FFFF0000"/>
      <name val="Arial"/>
      <family val="2"/>
    </font>
    <font>
      <b/>
      <sz val="11"/>
      <color theme="1"/>
      <name val="Calibri"/>
      <family val="2"/>
      <scheme val="minor"/>
    </font>
    <font>
      <sz val="11"/>
      <name val="Calibri"/>
      <family val="2"/>
      <scheme val="minor"/>
    </font>
    <font>
      <sz val="11"/>
      <color rgb="FF000000"/>
      <name val="Calibri"/>
      <family val="2"/>
      <scheme val="minor"/>
    </font>
    <font>
      <sz val="11"/>
      <color theme="1"/>
      <name val="Calibri"/>
      <family val="2"/>
      <scheme val="minor"/>
    </font>
    <font>
      <sz val="11"/>
      <color rgb="FFC00000"/>
      <name val="Calibri"/>
      <family val="2"/>
      <scheme val="minor"/>
    </font>
    <font>
      <b/>
      <sz val="18"/>
      <color theme="1"/>
      <name val="Arial"/>
      <family val="2"/>
    </font>
    <font>
      <b/>
      <sz val="18"/>
      <color theme="1"/>
      <name val="Calibri"/>
      <family val="2"/>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2">
    <xf numFmtId="0" fontId="0" fillId="0" borderId="0"/>
    <xf numFmtId="9" fontId="7" fillId="0" borderId="0" applyFont="0" applyFill="0" applyBorder="0" applyAlignment="0" applyProtection="0"/>
  </cellStyleXfs>
  <cellXfs count="110">
    <xf numFmtId="0" fontId="0" fillId="0" borderId="0" xfId="0"/>
    <xf numFmtId="0" fontId="0" fillId="0" borderId="6" xfId="0" applyBorder="1" applyAlignment="1" applyProtection="1">
      <alignment horizontal="center" vertical="center" wrapText="1"/>
      <protection locked="0"/>
    </xf>
    <xf numFmtId="0" fontId="0" fillId="0" borderId="0" xfId="0" applyAlignment="1">
      <alignment vertical="center"/>
    </xf>
    <xf numFmtId="0" fontId="0" fillId="0" borderId="0" xfId="0" applyAlignment="1">
      <alignment vertical="center" wrapText="1"/>
    </xf>
    <xf numFmtId="0" fontId="2" fillId="0" borderId="0" xfId="0" applyFont="1" applyAlignment="1">
      <alignment vertical="center"/>
    </xf>
    <xf numFmtId="3" fontId="0" fillId="0" borderId="6" xfId="0" applyNumberFormat="1" applyBorder="1" applyAlignment="1">
      <alignment horizontal="center" vertical="center"/>
    </xf>
    <xf numFmtId="3" fontId="0" fillId="0" borderId="6" xfId="0" applyNumberFormat="1" applyBorder="1" applyAlignment="1">
      <alignment horizontal="center" vertical="center" wrapText="1"/>
    </xf>
    <xf numFmtId="3" fontId="0" fillId="0" borderId="7" xfId="0" applyNumberFormat="1" applyBorder="1" applyAlignment="1">
      <alignment horizontal="center" vertical="center" wrapText="1"/>
    </xf>
    <xf numFmtId="3" fontId="0" fillId="0" borderId="7" xfId="0" applyNumberFormat="1" applyBorder="1" applyAlignment="1">
      <alignment horizontal="center" vertical="center"/>
    </xf>
    <xf numFmtId="3" fontId="1" fillId="0" borderId="6" xfId="0" applyNumberFormat="1" applyFont="1" applyBorder="1" applyAlignment="1">
      <alignment horizontal="center" vertical="center"/>
    </xf>
    <xf numFmtId="0" fontId="5" fillId="0" borderId="3"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3" fontId="0" fillId="0" borderId="3" xfId="0" applyNumberFormat="1" applyBorder="1" applyAlignment="1">
      <alignment horizontal="center" vertical="center" wrapText="1"/>
    </xf>
    <xf numFmtId="3" fontId="0" fillId="0" borderId="19" xfId="0" applyNumberFormat="1" applyBorder="1" applyAlignment="1">
      <alignment horizontal="center" vertical="center"/>
    </xf>
    <xf numFmtId="0" fontId="0" fillId="0" borderId="19" xfId="0" applyBorder="1" applyAlignment="1">
      <alignment horizontal="center" vertical="center"/>
    </xf>
    <xf numFmtId="10" fontId="0" fillId="0" borderId="6" xfId="0" applyNumberFormat="1" applyBorder="1" applyAlignment="1">
      <alignment horizontal="center" vertical="center"/>
    </xf>
    <xf numFmtId="0" fontId="0" fillId="0" borderId="0" xfId="0" applyAlignment="1">
      <alignment horizontal="center" vertical="center"/>
    </xf>
    <xf numFmtId="0" fontId="0" fillId="0" borderId="6" xfId="0" applyBorder="1" applyAlignment="1">
      <alignment vertical="center" wrapText="1"/>
    </xf>
    <xf numFmtId="3" fontId="5" fillId="0" borderId="6" xfId="0" applyNumberFormat="1" applyFont="1" applyBorder="1" applyAlignment="1">
      <alignment horizontal="center" vertical="center"/>
    </xf>
    <xf numFmtId="0" fontId="0" fillId="0" borderId="2" xfId="0" applyBorder="1" applyAlignment="1">
      <alignment vertical="center" wrapText="1"/>
    </xf>
    <xf numFmtId="3" fontId="8" fillId="0" borderId="6" xfId="0" applyNumberFormat="1" applyFont="1" applyBorder="1" applyAlignment="1">
      <alignment horizontal="center" vertical="center"/>
    </xf>
    <xf numFmtId="3" fontId="0" fillId="0" borderId="2" xfId="0" applyNumberFormat="1" applyBorder="1" applyAlignment="1">
      <alignment horizontal="center" vertical="center"/>
    </xf>
    <xf numFmtId="0" fontId="6" fillId="0" borderId="4" xfId="0" applyFont="1" applyBorder="1" applyAlignment="1" applyProtection="1">
      <alignment horizontal="center" vertical="center" wrapText="1"/>
      <protection locked="0"/>
    </xf>
    <xf numFmtId="3" fontId="0" fillId="0" borderId="2" xfId="0" applyNumberFormat="1" applyBorder="1" applyAlignment="1">
      <alignment horizontal="center" vertical="center" wrapText="1"/>
    </xf>
    <xf numFmtId="0" fontId="0" fillId="0" borderId="0" xfId="0" applyFill="1" applyAlignment="1">
      <alignment vertical="center"/>
    </xf>
    <xf numFmtId="3" fontId="5" fillId="0" borderId="6" xfId="0" applyNumberFormat="1" applyFont="1" applyFill="1" applyBorder="1" applyAlignment="1">
      <alignment horizontal="center" vertical="center"/>
    </xf>
    <xf numFmtId="3" fontId="0" fillId="0" borderId="6" xfId="0" applyNumberFormat="1" applyFill="1" applyBorder="1" applyAlignment="1">
      <alignment horizontal="center" vertical="center"/>
    </xf>
    <xf numFmtId="3" fontId="0" fillId="0" borderId="2" xfId="0" applyNumberFormat="1" applyFill="1" applyBorder="1" applyAlignment="1">
      <alignment horizontal="center" vertical="center"/>
    </xf>
    <xf numFmtId="3" fontId="0" fillId="0" borderId="2" xfId="0" applyNumberFormat="1" applyBorder="1" applyAlignment="1">
      <alignment horizontal="center" vertical="center" wrapText="1"/>
    </xf>
    <xf numFmtId="9" fontId="0" fillId="0" borderId="6" xfId="1" applyFont="1" applyBorder="1" applyAlignment="1">
      <alignment vertical="center"/>
    </xf>
    <xf numFmtId="3" fontId="0" fillId="0" borderId="6" xfId="0" applyNumberFormat="1" applyFont="1" applyBorder="1" applyAlignment="1">
      <alignment horizontal="center" vertical="center"/>
    </xf>
    <xf numFmtId="3" fontId="0" fillId="0" borderId="2" xfId="0" applyNumberFormat="1" applyFont="1" applyBorder="1" applyAlignment="1">
      <alignment horizontal="center" vertical="center"/>
    </xf>
    <xf numFmtId="9" fontId="0" fillId="0" borderId="2" xfId="1" applyFont="1" applyBorder="1" applyAlignment="1">
      <alignment vertical="center"/>
    </xf>
    <xf numFmtId="9" fontId="0" fillId="0" borderId="2" xfId="0" applyNumberFormat="1" applyBorder="1" applyAlignment="1">
      <alignment vertical="center"/>
    </xf>
    <xf numFmtId="3" fontId="0" fillId="0" borderId="2" xfId="0" applyNumberFormat="1" applyBorder="1" applyAlignment="1">
      <alignment horizontal="center" vertical="center" wrapText="1"/>
    </xf>
    <xf numFmtId="3" fontId="0" fillId="0" borderId="4" xfId="0" applyNumberFormat="1" applyBorder="1" applyAlignment="1">
      <alignment horizontal="center" vertical="center"/>
    </xf>
    <xf numFmtId="3" fontId="0" fillId="0" borderId="2" xfId="0" applyNumberFormat="1" applyBorder="1" applyAlignment="1">
      <alignment horizontal="center" vertical="center"/>
    </xf>
    <xf numFmtId="0" fontId="2" fillId="0" borderId="8" xfId="0" applyFont="1" applyFill="1" applyBorder="1" applyAlignment="1">
      <alignment horizontal="center" vertical="center" wrapText="1"/>
    </xf>
    <xf numFmtId="9" fontId="0" fillId="0" borderId="6" xfId="1" applyFont="1" applyBorder="1" applyAlignment="1">
      <alignment horizontal="center" vertical="center"/>
    </xf>
    <xf numFmtId="9" fontId="0" fillId="0" borderId="6" xfId="0" applyNumberFormat="1" applyBorder="1" applyAlignment="1">
      <alignment horizontal="center" vertical="center"/>
    </xf>
    <xf numFmtId="10" fontId="9" fillId="0" borderId="0" xfId="1" applyNumberFormat="1" applyFont="1" applyAlignment="1">
      <alignment vertical="center"/>
    </xf>
    <xf numFmtId="3" fontId="0" fillId="0" borderId="0" xfId="0" applyNumberFormat="1" applyAlignment="1">
      <alignment vertical="center"/>
    </xf>
    <xf numFmtId="10" fontId="10" fillId="0" borderId="0" xfId="1" applyNumberFormat="1" applyFont="1" applyAlignment="1">
      <alignment vertical="center"/>
    </xf>
    <xf numFmtId="3" fontId="0" fillId="0" borderId="4" xfId="0" applyNumberFormat="1" applyBorder="1" applyAlignment="1">
      <alignment horizontal="center" vertical="top" wrapText="1"/>
    </xf>
    <xf numFmtId="3" fontId="0" fillId="0" borderId="2" xfId="0" applyNumberFormat="1" applyBorder="1" applyAlignment="1">
      <alignment horizontal="center" vertical="top" wrapText="1"/>
    </xf>
    <xf numFmtId="3" fontId="0" fillId="0" borderId="9" xfId="0" applyNumberFormat="1" applyBorder="1" applyAlignment="1">
      <alignment horizontal="center" vertical="top" wrapText="1"/>
    </xf>
    <xf numFmtId="3" fontId="0" fillId="0" borderId="8" xfId="0" applyNumberFormat="1" applyBorder="1" applyAlignment="1">
      <alignment horizontal="center" vertical="top" wrapText="1"/>
    </xf>
    <xf numFmtId="3" fontId="0" fillId="0" borderId="4" xfId="0" applyNumberFormat="1" applyBorder="1" applyAlignment="1">
      <alignment horizontal="center" vertical="center"/>
    </xf>
    <xf numFmtId="3" fontId="0" fillId="0" borderId="2" xfId="0" applyNumberFormat="1" applyBorder="1" applyAlignment="1">
      <alignment horizontal="center" vertical="center"/>
    </xf>
    <xf numFmtId="0" fontId="6" fillId="0" borderId="4"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3" fontId="0" fillId="0" borderId="4" xfId="0" applyNumberFormat="1" applyBorder="1" applyAlignment="1">
      <alignment horizontal="center" vertical="center" wrapText="1"/>
    </xf>
    <xf numFmtId="3" fontId="0" fillId="0" borderId="2" xfId="0" applyNumberFormat="1" applyBorder="1" applyAlignment="1">
      <alignment horizontal="center" vertical="center" wrapText="1"/>
    </xf>
    <xf numFmtId="3" fontId="0" fillId="0" borderId="18" xfId="0" applyNumberFormat="1" applyBorder="1" applyAlignment="1">
      <alignment horizontal="center" vertical="center" wrapText="1"/>
    </xf>
    <xf numFmtId="3" fontId="0" fillId="0" borderId="15" xfId="0" applyNumberFormat="1" applyBorder="1" applyAlignment="1">
      <alignment horizontal="center" vertical="center" wrapText="1"/>
    </xf>
    <xf numFmtId="3" fontId="0" fillId="0" borderId="15" xfId="0" applyNumberFormat="1" applyBorder="1" applyAlignment="1">
      <alignment horizontal="center" vertical="center"/>
    </xf>
    <xf numFmtId="9" fontId="0" fillId="0" borderId="4" xfId="1" applyFont="1" applyBorder="1" applyAlignment="1">
      <alignment horizontal="center" vertical="center"/>
    </xf>
    <xf numFmtId="9" fontId="0" fillId="0" borderId="2" xfId="1" applyFont="1" applyBorder="1" applyAlignment="1">
      <alignment horizontal="center" vertical="center"/>
    </xf>
    <xf numFmtId="10" fontId="0" fillId="0" borderId="4" xfId="0" applyNumberFormat="1" applyBorder="1" applyAlignment="1">
      <alignment horizontal="center" vertical="center"/>
    </xf>
    <xf numFmtId="10" fontId="0" fillId="0" borderId="2" xfId="0" applyNumberFormat="1" applyBorder="1" applyAlignment="1">
      <alignment horizontal="center" vertical="center"/>
    </xf>
    <xf numFmtId="3" fontId="0" fillId="0" borderId="4" xfId="0" applyNumberFormat="1" applyFill="1" applyBorder="1" applyAlignment="1">
      <alignment horizontal="center" vertical="center"/>
    </xf>
    <xf numFmtId="3" fontId="0" fillId="0" borderId="2" xfId="0" applyNumberFormat="1" applyFill="1" applyBorder="1" applyAlignment="1">
      <alignment horizontal="center" vertical="center"/>
    </xf>
    <xf numFmtId="0" fontId="0" fillId="0" borderId="4" xfId="0" applyBorder="1" applyAlignment="1">
      <alignment horizontal="center" vertical="center" wrapText="1"/>
    </xf>
    <xf numFmtId="0" fontId="0" fillId="0" borderId="2" xfId="0" applyBorder="1" applyAlignment="1">
      <alignment horizontal="center" vertical="center" wrapText="1"/>
    </xf>
    <xf numFmtId="3" fontId="8" fillId="0" borderId="4" xfId="0" applyNumberFormat="1" applyFont="1" applyBorder="1" applyAlignment="1">
      <alignment horizontal="center" vertical="center"/>
    </xf>
    <xf numFmtId="3" fontId="8" fillId="0" borderId="2" xfId="0" applyNumberFormat="1" applyFont="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3" fontId="0" fillId="0" borderId="6" xfId="0" applyNumberFormat="1" applyFill="1" applyBorder="1" applyAlignment="1">
      <alignment horizontal="center" vertical="center" wrapText="1"/>
    </xf>
    <xf numFmtId="3" fontId="0" fillId="0" borderId="2" xfId="0" applyNumberFormat="1" applyFill="1" applyBorder="1" applyAlignment="1">
      <alignment horizontal="center" vertical="center" wrapText="1"/>
    </xf>
    <xf numFmtId="3" fontId="0" fillId="0" borderId="4" xfId="0" applyNumberFormat="1" applyFill="1" applyBorder="1" applyAlignment="1">
      <alignment horizontal="center" vertical="top" wrapText="1"/>
    </xf>
    <xf numFmtId="3" fontId="0" fillId="0" borderId="9" xfId="0" applyNumberFormat="1" applyFill="1" applyBorder="1" applyAlignment="1">
      <alignment horizontal="center" vertical="top" wrapText="1"/>
    </xf>
    <xf numFmtId="3" fontId="0" fillId="0" borderId="2" xfId="0" applyNumberFormat="1" applyFill="1" applyBorder="1" applyAlignment="1">
      <alignment horizontal="center" vertical="top"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4" xfId="0" applyFont="1" applyFill="1" applyBorder="1" applyAlignment="1">
      <alignment horizontal="center" vertical="center" wrapText="1"/>
    </xf>
    <xf numFmtId="0" fontId="4" fillId="0" borderId="10" xfId="0" applyFont="1" applyFill="1" applyBorder="1" applyAlignment="1" applyProtection="1">
      <alignment horizontal="center" vertical="center" textRotation="255" wrapText="1"/>
      <protection locked="0"/>
    </xf>
    <xf numFmtId="0" fontId="4" fillId="0" borderId="4" xfId="0" applyFont="1" applyFill="1" applyBorder="1" applyAlignment="1" applyProtection="1">
      <alignment horizontal="center" vertical="center" textRotation="255" wrapText="1"/>
      <protection locked="0"/>
    </xf>
    <xf numFmtId="0" fontId="0" fillId="0" borderId="5" xfId="0" applyFill="1" applyBorder="1" applyAlignment="1" applyProtection="1">
      <alignment horizontal="center" vertical="center" textRotation="90" wrapText="1"/>
      <protection locked="0"/>
    </xf>
    <xf numFmtId="0" fontId="0" fillId="0" borderId="6" xfId="0" applyFill="1" applyBorder="1" applyAlignment="1" applyProtection="1">
      <alignment horizontal="center" vertical="center" wrapText="1"/>
      <protection locked="0"/>
    </xf>
    <xf numFmtId="10" fontId="0" fillId="0" borderId="6" xfId="0" applyNumberFormat="1" applyFill="1" applyBorder="1" applyAlignment="1">
      <alignment horizontal="center" vertical="center"/>
    </xf>
    <xf numFmtId="0" fontId="4" fillId="0" borderId="16" xfId="0" applyFont="1" applyFill="1" applyBorder="1" applyAlignment="1" applyProtection="1">
      <alignment horizontal="center" vertical="center" textRotation="255" wrapText="1"/>
      <protection locked="0"/>
    </xf>
    <xf numFmtId="0" fontId="4" fillId="0" borderId="9" xfId="0" applyFont="1" applyFill="1" applyBorder="1" applyAlignment="1" applyProtection="1">
      <alignment horizontal="center" vertical="center" textRotation="255" wrapText="1"/>
      <protection locked="0"/>
    </xf>
    <xf numFmtId="0" fontId="0" fillId="0" borderId="1" xfId="0" applyFill="1" applyBorder="1" applyAlignment="1" applyProtection="1">
      <alignment horizontal="center" vertical="center" textRotation="90" wrapText="1"/>
      <protection locked="0"/>
    </xf>
    <xf numFmtId="0" fontId="0" fillId="0" borderId="2" xfId="0" applyFill="1" applyBorder="1" applyAlignment="1" applyProtection="1">
      <alignment horizontal="center" vertical="center" wrapText="1"/>
      <protection locked="0"/>
    </xf>
    <xf numFmtId="10" fontId="0" fillId="0" borderId="2" xfId="0" applyNumberFormat="1" applyFill="1" applyBorder="1" applyAlignment="1">
      <alignment horizontal="center" vertical="center"/>
    </xf>
    <xf numFmtId="0" fontId="4" fillId="0" borderId="2" xfId="0" applyFont="1" applyFill="1" applyBorder="1" applyAlignment="1" applyProtection="1">
      <alignment horizontal="center" vertical="center" textRotation="255" wrapText="1"/>
      <protection locked="0"/>
    </xf>
    <xf numFmtId="0" fontId="0" fillId="0" borderId="6" xfId="0" applyFill="1" applyBorder="1" applyAlignment="1" applyProtection="1">
      <alignment horizontal="center" vertical="center" textRotation="90" wrapText="1"/>
      <protection locked="0"/>
    </xf>
    <xf numFmtId="9" fontId="0" fillId="0" borderId="6" xfId="0" applyNumberFormat="1" applyFill="1" applyBorder="1" applyAlignment="1" applyProtection="1">
      <alignment horizontal="center" vertical="center" wrapText="1"/>
      <protection locked="0"/>
    </xf>
    <xf numFmtId="0" fontId="0" fillId="0" borderId="3" xfId="0" applyFill="1" applyBorder="1" applyAlignment="1" applyProtection="1">
      <alignment horizontal="center" vertical="center" textRotation="90" wrapText="1"/>
      <protection locked="0"/>
    </xf>
    <xf numFmtId="0" fontId="0" fillId="0" borderId="5"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textRotation="90" wrapText="1"/>
      <protection locked="0"/>
    </xf>
    <xf numFmtId="0" fontId="0" fillId="0" borderId="4" xfId="0" applyFill="1" applyBorder="1" applyAlignment="1" applyProtection="1">
      <alignment horizontal="center" vertical="center" wrapText="1"/>
      <protection locked="0"/>
    </xf>
    <xf numFmtId="10" fontId="0" fillId="0" borderId="4" xfId="0" applyNumberFormat="1" applyFill="1" applyBorder="1" applyAlignment="1">
      <alignment horizontal="center" vertical="center"/>
    </xf>
    <xf numFmtId="0" fontId="0" fillId="0" borderId="2" xfId="0" applyFill="1" applyBorder="1" applyAlignment="1" applyProtection="1">
      <alignment horizontal="center" vertical="center" textRotation="90" wrapText="1"/>
      <protection locked="0"/>
    </xf>
    <xf numFmtId="0" fontId="0" fillId="0" borderId="2" xfId="0" applyFill="1" applyBorder="1" applyAlignment="1" applyProtection="1">
      <alignment horizontal="center" vertical="center" wrapText="1"/>
      <protection locked="0"/>
    </xf>
    <xf numFmtId="10" fontId="0" fillId="0" borderId="2" xfId="0" applyNumberFormat="1" applyFill="1" applyBorder="1" applyAlignment="1">
      <alignment horizontal="center" vertical="center"/>
    </xf>
    <xf numFmtId="0" fontId="0" fillId="0" borderId="4" xfId="0" applyFill="1" applyBorder="1" applyAlignment="1" applyProtection="1">
      <alignment horizontal="center" vertical="top" textRotation="90" wrapText="1"/>
      <protection locked="0"/>
    </xf>
    <xf numFmtId="0" fontId="0" fillId="0" borderId="2" xfId="0" applyFill="1" applyBorder="1" applyAlignment="1" applyProtection="1">
      <alignment horizontal="center" vertical="top" textRotation="90" wrapText="1"/>
      <protection locked="0"/>
    </xf>
    <xf numFmtId="0" fontId="4" fillId="0" borderId="17" xfId="0" applyFont="1" applyFill="1" applyBorder="1" applyAlignment="1" applyProtection="1">
      <alignment horizontal="center" vertical="center" textRotation="255" wrapText="1"/>
      <protection locked="0"/>
    </xf>
    <xf numFmtId="0" fontId="4" fillId="0" borderId="20"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9"/>
  <sheetViews>
    <sheetView tabSelected="1" zoomScale="70" zoomScaleNormal="70" workbookViewId="0">
      <selection activeCell="B4" sqref="B4:B13"/>
    </sheetView>
  </sheetViews>
  <sheetFormatPr baseColWidth="10" defaultColWidth="11.42578125" defaultRowHeight="15" x14ac:dyDescent="0.25"/>
  <cols>
    <col min="1" max="1" width="14" style="2" customWidth="1"/>
    <col min="2" max="2" width="25.85546875" style="2" customWidth="1"/>
    <col min="3" max="3" width="24.42578125" style="2" customWidth="1"/>
    <col min="4" max="4" width="26.85546875" style="2" customWidth="1"/>
    <col min="5" max="5" width="27.7109375" style="2" customWidth="1"/>
    <col min="6" max="6" width="26.85546875" style="16" customWidth="1"/>
    <col min="7" max="7" width="26.140625" style="2" customWidth="1"/>
    <col min="8" max="8" width="25.7109375" style="2" customWidth="1"/>
    <col min="9" max="9" width="24.85546875" style="2" customWidth="1"/>
    <col min="10" max="12" width="23.140625" style="2" customWidth="1"/>
    <col min="13" max="14" width="23.140625" style="24" customWidth="1"/>
    <col min="15" max="17" width="23.140625" style="2" customWidth="1"/>
    <col min="18" max="20" width="20" style="2" customWidth="1"/>
    <col min="21" max="24" width="24.42578125" style="2" customWidth="1"/>
    <col min="25" max="25" width="22.85546875" style="2" customWidth="1"/>
    <col min="26" max="28" width="23.140625" style="2" customWidth="1"/>
    <col min="29" max="29" width="23" style="2" customWidth="1"/>
    <col min="30" max="30" width="24.28515625" style="2" customWidth="1"/>
    <col min="31" max="31" width="33.85546875" style="2" customWidth="1"/>
    <col min="32" max="32" width="27.5703125" style="2" customWidth="1"/>
    <col min="33" max="36" width="23.5703125" style="2" customWidth="1"/>
    <col min="37" max="40" width="22.5703125" style="2" customWidth="1"/>
    <col min="41" max="41" width="20.42578125" style="2" customWidth="1"/>
    <col min="42" max="50" width="22.85546875" style="2" customWidth="1"/>
    <col min="51" max="51" width="34.140625" style="2" customWidth="1"/>
    <col min="52" max="52" width="27.7109375" style="2" customWidth="1"/>
    <col min="53" max="53" width="25" style="2" customWidth="1"/>
    <col min="54" max="54" width="81.85546875" style="2" customWidth="1"/>
    <col min="55" max="16384" width="11.42578125" style="2"/>
  </cols>
  <sheetData>
    <row r="1" spans="1:54" ht="36" customHeight="1" thickBot="1" x14ac:dyDescent="0.3">
      <c r="A1" s="109" t="s">
        <v>137</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row>
    <row r="2" spans="1:54" s="4" customFormat="1" ht="54.75" customHeight="1" x14ac:dyDescent="0.25">
      <c r="A2" s="74" t="s">
        <v>0</v>
      </c>
      <c r="B2" s="75" t="s">
        <v>1</v>
      </c>
      <c r="C2" s="75" t="s">
        <v>2</v>
      </c>
      <c r="D2" s="75" t="s">
        <v>3</v>
      </c>
      <c r="E2" s="75" t="s">
        <v>4</v>
      </c>
      <c r="F2" s="75" t="s">
        <v>5</v>
      </c>
      <c r="G2" s="75" t="s">
        <v>6</v>
      </c>
      <c r="H2" s="75" t="s">
        <v>7</v>
      </c>
      <c r="I2" s="75" t="s">
        <v>8</v>
      </c>
      <c r="J2" s="75" t="s">
        <v>9</v>
      </c>
      <c r="K2" s="75" t="s">
        <v>10</v>
      </c>
      <c r="L2" s="75" t="s">
        <v>11</v>
      </c>
      <c r="M2" s="75" t="s">
        <v>12</v>
      </c>
      <c r="N2" s="75" t="s">
        <v>13</v>
      </c>
      <c r="O2" s="75" t="s">
        <v>14</v>
      </c>
      <c r="P2" s="75" t="s">
        <v>15</v>
      </c>
      <c r="Q2" s="75" t="s">
        <v>16</v>
      </c>
      <c r="R2" s="75" t="s">
        <v>17</v>
      </c>
      <c r="S2" s="75" t="s">
        <v>18</v>
      </c>
      <c r="T2" s="75"/>
      <c r="U2" s="75"/>
      <c r="V2" s="67" t="s">
        <v>140</v>
      </c>
      <c r="W2" s="67" t="s">
        <v>141</v>
      </c>
      <c r="X2" s="76"/>
      <c r="Y2" s="75" t="s">
        <v>19</v>
      </c>
      <c r="Z2" s="75" t="s">
        <v>20</v>
      </c>
      <c r="AA2" s="75" t="s">
        <v>21</v>
      </c>
      <c r="AB2" s="75" t="s">
        <v>22</v>
      </c>
      <c r="AC2" s="75" t="s">
        <v>23</v>
      </c>
      <c r="AD2" s="75" t="s">
        <v>24</v>
      </c>
      <c r="AE2" s="66" t="s">
        <v>25</v>
      </c>
      <c r="AF2" s="66"/>
      <c r="AG2" s="66"/>
      <c r="AH2" s="67" t="s">
        <v>142</v>
      </c>
      <c r="AI2" s="67" t="s">
        <v>143</v>
      </c>
      <c r="AJ2" s="67" t="s">
        <v>144</v>
      </c>
      <c r="AK2" s="75" t="s">
        <v>26</v>
      </c>
      <c r="AL2" s="67" t="s">
        <v>145</v>
      </c>
      <c r="AM2" s="67" t="s">
        <v>146</v>
      </c>
      <c r="AN2" s="67" t="s">
        <v>147</v>
      </c>
      <c r="AO2" s="75" t="s">
        <v>27</v>
      </c>
      <c r="AP2" s="66" t="s">
        <v>28</v>
      </c>
      <c r="AQ2" s="66"/>
      <c r="AR2" s="66"/>
      <c r="AS2" s="66"/>
      <c r="AT2" s="77" t="s">
        <v>148</v>
      </c>
      <c r="AU2" s="77" t="s">
        <v>149</v>
      </c>
      <c r="AV2" s="77" t="s">
        <v>150</v>
      </c>
      <c r="AW2" s="77" t="s">
        <v>151</v>
      </c>
      <c r="AX2" s="77" t="s">
        <v>152</v>
      </c>
      <c r="AY2" s="75" t="s">
        <v>29</v>
      </c>
      <c r="AZ2" s="75" t="s">
        <v>30</v>
      </c>
      <c r="BA2" s="75" t="s">
        <v>31</v>
      </c>
      <c r="BB2" s="78" t="s">
        <v>32</v>
      </c>
    </row>
    <row r="3" spans="1:54" s="4" customFormat="1" ht="75.75" customHeight="1" thickBot="1" x14ac:dyDescent="0.3">
      <c r="A3" s="79"/>
      <c r="B3" s="80"/>
      <c r="C3" s="80"/>
      <c r="D3" s="80"/>
      <c r="E3" s="80"/>
      <c r="F3" s="80"/>
      <c r="G3" s="80"/>
      <c r="H3" s="80"/>
      <c r="I3" s="80"/>
      <c r="J3" s="80"/>
      <c r="K3" s="80"/>
      <c r="L3" s="80"/>
      <c r="M3" s="80"/>
      <c r="N3" s="80"/>
      <c r="O3" s="80"/>
      <c r="P3" s="80"/>
      <c r="Q3" s="80"/>
      <c r="R3" s="80"/>
      <c r="S3" s="80"/>
      <c r="T3" s="80"/>
      <c r="U3" s="80"/>
      <c r="V3" s="68"/>
      <c r="W3" s="68"/>
      <c r="X3" s="81"/>
      <c r="Y3" s="80"/>
      <c r="Z3" s="80"/>
      <c r="AA3" s="80"/>
      <c r="AB3" s="80"/>
      <c r="AC3" s="80"/>
      <c r="AD3" s="80"/>
      <c r="AE3" s="37" t="s">
        <v>33</v>
      </c>
      <c r="AF3" s="37" t="s">
        <v>34</v>
      </c>
      <c r="AG3" s="37" t="s">
        <v>35</v>
      </c>
      <c r="AH3" s="68"/>
      <c r="AI3" s="68"/>
      <c r="AJ3" s="68"/>
      <c r="AK3" s="80"/>
      <c r="AL3" s="68"/>
      <c r="AM3" s="68"/>
      <c r="AN3" s="68"/>
      <c r="AO3" s="80"/>
      <c r="AP3" s="37" t="s">
        <v>36</v>
      </c>
      <c r="AQ3" s="37" t="s">
        <v>37</v>
      </c>
      <c r="AR3" s="37" t="s">
        <v>38</v>
      </c>
      <c r="AS3" s="37" t="s">
        <v>39</v>
      </c>
      <c r="AT3" s="82"/>
      <c r="AU3" s="82"/>
      <c r="AV3" s="82"/>
      <c r="AW3" s="82"/>
      <c r="AX3" s="82"/>
      <c r="AY3" s="80"/>
      <c r="AZ3" s="80"/>
      <c r="BA3" s="80"/>
      <c r="BB3" s="83"/>
    </row>
    <row r="4" spans="1:54" ht="257.25" customHeight="1" thickBot="1" x14ac:dyDescent="0.3">
      <c r="A4" s="84" t="s">
        <v>40</v>
      </c>
      <c r="B4" s="85" t="s">
        <v>41</v>
      </c>
      <c r="C4" s="85" t="s">
        <v>42</v>
      </c>
      <c r="D4" s="86" t="s">
        <v>43</v>
      </c>
      <c r="E4" s="87" t="s">
        <v>44</v>
      </c>
      <c r="F4" s="88">
        <f>1175/769</f>
        <v>1.5279583875162548</v>
      </c>
      <c r="G4" s="29">
        <f>1689/769</f>
        <v>2.1963589076723018</v>
      </c>
      <c r="H4" s="17" t="s">
        <v>45</v>
      </c>
      <c r="I4" s="1" t="s">
        <v>46</v>
      </c>
      <c r="J4" s="5">
        <f>426+240</f>
        <v>666</v>
      </c>
      <c r="K4" s="18">
        <v>446</v>
      </c>
      <c r="L4" s="18">
        <v>638</v>
      </c>
      <c r="M4" s="25">
        <v>830</v>
      </c>
      <c r="N4" s="25">
        <v>1023</v>
      </c>
      <c r="O4" s="5">
        <f>P4-250</f>
        <v>925</v>
      </c>
      <c r="P4" s="5">
        <f>426+240+509</f>
        <v>1175</v>
      </c>
      <c r="Q4" s="30">
        <f>P4+50</f>
        <v>1225</v>
      </c>
      <c r="R4" s="5">
        <f>464+Q4</f>
        <v>1689</v>
      </c>
      <c r="S4" s="9">
        <f>+(O4+J4)/50000</f>
        <v>3.1820000000000001E-2</v>
      </c>
      <c r="T4" s="5"/>
      <c r="U4" s="5"/>
      <c r="V4" s="5">
        <f>(R4-J4)</f>
        <v>1023</v>
      </c>
      <c r="W4" s="5">
        <f>(J4+V4)</f>
        <v>1689</v>
      </c>
      <c r="X4" s="5"/>
      <c r="Y4" s="6" t="s">
        <v>47</v>
      </c>
      <c r="Z4" s="23" t="s">
        <v>48</v>
      </c>
      <c r="AA4" s="5">
        <v>259</v>
      </c>
      <c r="AB4" s="14">
        <v>509</v>
      </c>
      <c r="AC4" s="5">
        <f>509+50</f>
        <v>559</v>
      </c>
      <c r="AD4" s="5">
        <f>464+AC4</f>
        <v>1023</v>
      </c>
      <c r="AE4" s="10" t="s">
        <v>49</v>
      </c>
      <c r="AF4" s="5">
        <f>J4</f>
        <v>666</v>
      </c>
      <c r="AG4" s="5">
        <f>M4-AF4</f>
        <v>164</v>
      </c>
      <c r="AH4" s="5">
        <f t="shared" ref="AH4:AH9" si="0">AD4</f>
        <v>1023</v>
      </c>
      <c r="AI4" s="38">
        <f>100%</f>
        <v>1</v>
      </c>
      <c r="AJ4" s="56">
        <f>SUM(AI4:AI5)/(2)</f>
        <v>1</v>
      </c>
      <c r="AK4" s="5" t="s">
        <v>50</v>
      </c>
      <c r="AL4" s="47">
        <v>837200000</v>
      </c>
      <c r="AM4" s="47">
        <v>834300000</v>
      </c>
      <c r="AN4" s="58">
        <f>AM4/AL4</f>
        <v>0.99653607262302912</v>
      </c>
      <c r="AO4" s="26" t="s">
        <v>51</v>
      </c>
      <c r="AP4" s="69" t="s">
        <v>52</v>
      </c>
      <c r="AQ4" s="69" t="s">
        <v>53</v>
      </c>
      <c r="AR4" s="70">
        <v>150000000</v>
      </c>
      <c r="AS4" s="70">
        <v>147200000</v>
      </c>
      <c r="AT4" s="71" t="s">
        <v>52</v>
      </c>
      <c r="AU4" s="72" t="s">
        <v>153</v>
      </c>
      <c r="AV4" s="71" t="s">
        <v>53</v>
      </c>
      <c r="AW4" s="72">
        <v>837200000</v>
      </c>
      <c r="AX4" s="72">
        <v>834300000</v>
      </c>
      <c r="AY4" s="69" t="s">
        <v>54</v>
      </c>
      <c r="AZ4" s="69" t="s">
        <v>55</v>
      </c>
      <c r="BA4" s="69" t="s">
        <v>56</v>
      </c>
      <c r="BB4" s="7" t="s">
        <v>134</v>
      </c>
    </row>
    <row r="5" spans="1:54" ht="84.75" customHeight="1" thickBot="1" x14ac:dyDescent="0.3">
      <c r="A5" s="89"/>
      <c r="B5" s="90"/>
      <c r="C5" s="90"/>
      <c r="D5" s="91"/>
      <c r="E5" s="92" t="s">
        <v>57</v>
      </c>
      <c r="F5" s="93">
        <f>120925/47460</f>
        <v>2.5479351032448379</v>
      </c>
      <c r="G5" s="32">
        <f>131397/47460</f>
        <v>2.76858407079646</v>
      </c>
      <c r="H5" s="19" t="s">
        <v>58</v>
      </c>
      <c r="I5" s="19" t="s">
        <v>59</v>
      </c>
      <c r="J5" s="21">
        <f>12137+13143</f>
        <v>25280</v>
      </c>
      <c r="K5" s="21">
        <v>11865</v>
      </c>
      <c r="L5" s="21">
        <v>23730</v>
      </c>
      <c r="M5" s="27">
        <v>35595</v>
      </c>
      <c r="N5" s="27">
        <v>47460</v>
      </c>
      <c r="O5" s="21">
        <f>P5-7538</f>
        <v>113387</v>
      </c>
      <c r="P5" s="21">
        <f>48549+58506+13870</f>
        <v>120925</v>
      </c>
      <c r="Q5" s="31">
        <f>P5+5598</f>
        <v>126523</v>
      </c>
      <c r="R5" s="5">
        <f>4874+Q5</f>
        <v>131397</v>
      </c>
      <c r="S5" s="21"/>
      <c r="T5" s="21"/>
      <c r="U5" s="21"/>
      <c r="V5" s="36">
        <f>(R5-J5)</f>
        <v>106117</v>
      </c>
      <c r="W5" s="36">
        <f>((J5+V5))</f>
        <v>131397</v>
      </c>
      <c r="X5" s="36"/>
      <c r="Y5" s="23" t="s">
        <v>60</v>
      </c>
      <c r="Z5" s="6" t="s">
        <v>61</v>
      </c>
      <c r="AA5" s="5">
        <v>6332</v>
      </c>
      <c r="AB5" s="13">
        <f>6332+7538</f>
        <v>13870</v>
      </c>
      <c r="AC5" s="21">
        <f>AB5+5598</f>
        <v>19468</v>
      </c>
      <c r="AD5" s="21">
        <f>4874+AC5</f>
        <v>24342</v>
      </c>
      <c r="AE5" s="11" t="s">
        <v>62</v>
      </c>
      <c r="AF5" s="5">
        <f t="shared" ref="AF5:AF13" si="1">J5</f>
        <v>25280</v>
      </c>
      <c r="AG5" s="5">
        <f t="shared" ref="AG5:AG6" si="2">M5-AF5</f>
        <v>10315</v>
      </c>
      <c r="AH5" s="5">
        <f t="shared" si="0"/>
        <v>24342</v>
      </c>
      <c r="AI5" s="38">
        <f>100%</f>
        <v>1</v>
      </c>
      <c r="AJ5" s="57"/>
      <c r="AK5" s="5" t="s">
        <v>50</v>
      </c>
      <c r="AL5" s="48"/>
      <c r="AM5" s="48"/>
      <c r="AN5" s="59"/>
      <c r="AO5" s="26" t="s">
        <v>51</v>
      </c>
      <c r="AP5" s="70" t="s">
        <v>63</v>
      </c>
      <c r="AQ5" s="70" t="s">
        <v>64</v>
      </c>
      <c r="AR5" s="69">
        <v>690000000</v>
      </c>
      <c r="AS5" s="69">
        <v>687100000</v>
      </c>
      <c r="AT5" s="73"/>
      <c r="AU5" s="73"/>
      <c r="AV5" s="73"/>
      <c r="AW5" s="73"/>
      <c r="AX5" s="73"/>
      <c r="AY5" s="70" t="s">
        <v>65</v>
      </c>
      <c r="AZ5" s="70" t="s">
        <v>66</v>
      </c>
      <c r="BA5" s="70" t="s">
        <v>67</v>
      </c>
      <c r="BB5" s="7" t="s">
        <v>67</v>
      </c>
    </row>
    <row r="6" spans="1:54" ht="79.5" customHeight="1" thickBot="1" x14ac:dyDescent="0.3">
      <c r="A6" s="89"/>
      <c r="B6" s="90"/>
      <c r="C6" s="94"/>
      <c r="D6" s="95" t="s">
        <v>68</v>
      </c>
      <c r="E6" s="96" t="s">
        <v>69</v>
      </c>
      <c r="F6" s="88">
        <v>0</v>
      </c>
      <c r="G6" s="29">
        <f>12/4</f>
        <v>3</v>
      </c>
      <c r="H6" s="17" t="s">
        <v>70</v>
      </c>
      <c r="I6" s="17" t="s">
        <v>71</v>
      </c>
      <c r="J6" s="5">
        <v>8</v>
      </c>
      <c r="K6" s="5">
        <v>4</v>
      </c>
      <c r="L6" s="5">
        <v>8</v>
      </c>
      <c r="M6" s="26">
        <v>12</v>
      </c>
      <c r="N6" s="26">
        <v>16</v>
      </c>
      <c r="O6" s="5">
        <v>8</v>
      </c>
      <c r="P6" s="5">
        <v>8</v>
      </c>
      <c r="Q6" s="20">
        <f>P6+2</f>
        <v>10</v>
      </c>
      <c r="R6" s="5">
        <f>2+Q6</f>
        <v>12</v>
      </c>
      <c r="S6" s="5"/>
      <c r="T6" s="5"/>
      <c r="U6" s="5"/>
      <c r="V6" s="5">
        <f>(R6-J6)</f>
        <v>4</v>
      </c>
      <c r="W6" s="5">
        <f>(J6+V6)</f>
        <v>12</v>
      </c>
      <c r="X6" s="5"/>
      <c r="Y6" s="6" t="s">
        <v>72</v>
      </c>
      <c r="Z6" s="6" t="s">
        <v>73</v>
      </c>
      <c r="AA6" s="5">
        <v>0</v>
      </c>
      <c r="AB6" s="21">
        <v>0</v>
      </c>
      <c r="AC6" s="5">
        <v>2</v>
      </c>
      <c r="AD6" s="5">
        <f>2+2</f>
        <v>4</v>
      </c>
      <c r="AE6" s="11" t="s">
        <v>74</v>
      </c>
      <c r="AF6" s="5">
        <f t="shared" si="1"/>
        <v>8</v>
      </c>
      <c r="AG6" s="5">
        <f t="shared" si="2"/>
        <v>4</v>
      </c>
      <c r="AH6" s="5">
        <f t="shared" si="0"/>
        <v>4</v>
      </c>
      <c r="AI6" s="38">
        <f>AH6/AG6</f>
        <v>1</v>
      </c>
      <c r="AJ6" s="38">
        <f>AI6</f>
        <v>1</v>
      </c>
      <c r="AK6" s="5" t="s">
        <v>50</v>
      </c>
      <c r="AL6" s="5">
        <v>298700000</v>
      </c>
      <c r="AM6" s="5">
        <v>298700000</v>
      </c>
      <c r="AN6" s="15">
        <f>AM6/AL6</f>
        <v>1</v>
      </c>
      <c r="AO6" s="5" t="s">
        <v>51</v>
      </c>
      <c r="AP6" s="6" t="s">
        <v>75</v>
      </c>
      <c r="AQ6" s="6" t="s">
        <v>53</v>
      </c>
      <c r="AR6" s="6">
        <v>300000000</v>
      </c>
      <c r="AS6" s="6">
        <v>298700000</v>
      </c>
      <c r="AT6" s="6" t="s">
        <v>75</v>
      </c>
      <c r="AU6" s="6" t="s">
        <v>154</v>
      </c>
      <c r="AV6" s="6" t="s">
        <v>53</v>
      </c>
      <c r="AW6" s="6">
        <v>298700000</v>
      </c>
      <c r="AX6" s="6">
        <v>298700000</v>
      </c>
      <c r="AY6" s="6" t="s">
        <v>76</v>
      </c>
      <c r="AZ6" s="6" t="s">
        <v>77</v>
      </c>
      <c r="BA6" s="20" t="s">
        <v>78</v>
      </c>
      <c r="BB6" s="7" t="s">
        <v>138</v>
      </c>
    </row>
    <row r="7" spans="1:54" ht="313.5" customHeight="1" thickBot="1" x14ac:dyDescent="0.3">
      <c r="A7" s="89"/>
      <c r="B7" s="90"/>
      <c r="C7" s="85" t="s">
        <v>79</v>
      </c>
      <c r="D7" s="97" t="s">
        <v>80</v>
      </c>
      <c r="E7" s="98" t="s">
        <v>81</v>
      </c>
      <c r="F7" s="88">
        <f>615252/672380</f>
        <v>0.9150361402778191</v>
      </c>
      <c r="G7" s="15">
        <f>615252/672380</f>
        <v>0.9150361402778191</v>
      </c>
      <c r="H7" s="17" t="s">
        <v>82</v>
      </c>
      <c r="I7" s="17" t="s">
        <v>83</v>
      </c>
      <c r="J7" s="5">
        <f>644972+50400</f>
        <v>695372</v>
      </c>
      <c r="K7" s="5">
        <v>520580</v>
      </c>
      <c r="L7" s="5">
        <v>571180</v>
      </c>
      <c r="M7" s="26">
        <v>621780</v>
      </c>
      <c r="N7" s="26">
        <v>672380</v>
      </c>
      <c r="O7" s="6" t="s">
        <v>84</v>
      </c>
      <c r="P7" s="5">
        <v>615252</v>
      </c>
      <c r="Q7" s="6">
        <f>P7+151</f>
        <v>615403</v>
      </c>
      <c r="R7" s="5">
        <f>794+Q7</f>
        <v>616197</v>
      </c>
      <c r="S7" s="5"/>
      <c r="T7" s="5"/>
      <c r="U7" s="5"/>
      <c r="V7" s="5">
        <f>(R7-469980)</f>
        <v>146217</v>
      </c>
      <c r="W7" s="5">
        <f>V7</f>
        <v>146217</v>
      </c>
      <c r="X7" s="5"/>
      <c r="Y7" s="6" t="s">
        <v>85</v>
      </c>
      <c r="Z7" s="6" t="s">
        <v>86</v>
      </c>
      <c r="AA7" s="5">
        <v>851</v>
      </c>
      <c r="AB7" s="5">
        <f>8400+851</f>
        <v>9251</v>
      </c>
      <c r="AC7" s="5">
        <f>9251+151</f>
        <v>9402</v>
      </c>
      <c r="AD7" s="5">
        <f>9402+50000</f>
        <v>59402</v>
      </c>
      <c r="AE7" s="11" t="s">
        <v>87</v>
      </c>
      <c r="AF7" s="5">
        <f t="shared" si="1"/>
        <v>695372</v>
      </c>
      <c r="AG7" s="5">
        <v>50600</v>
      </c>
      <c r="AH7" s="5">
        <f t="shared" si="0"/>
        <v>59402</v>
      </c>
      <c r="AI7" s="15">
        <f>100%</f>
        <v>1</v>
      </c>
      <c r="AJ7" s="58">
        <f>SUM(AI7:AI8)/(2)</f>
        <v>1</v>
      </c>
      <c r="AK7" s="5" t="s">
        <v>50</v>
      </c>
      <c r="AL7" s="47">
        <v>142200000</v>
      </c>
      <c r="AM7" s="47">
        <v>142200000</v>
      </c>
      <c r="AN7" s="56">
        <f>AM7/AL7</f>
        <v>1</v>
      </c>
      <c r="AO7" s="5" t="s">
        <v>51</v>
      </c>
      <c r="AP7" s="6" t="s">
        <v>88</v>
      </c>
      <c r="AQ7" s="6" t="s">
        <v>53</v>
      </c>
      <c r="AR7" s="6">
        <v>145000000</v>
      </c>
      <c r="AS7" s="6">
        <v>145000000</v>
      </c>
      <c r="AT7" s="43" t="s">
        <v>88</v>
      </c>
      <c r="AU7" s="43" t="s">
        <v>155</v>
      </c>
      <c r="AV7" s="43" t="s">
        <v>53</v>
      </c>
      <c r="AW7" s="43">
        <v>142200000</v>
      </c>
      <c r="AX7" s="43">
        <v>142200000</v>
      </c>
      <c r="AY7" s="6" t="s">
        <v>89</v>
      </c>
      <c r="AZ7" s="6" t="s">
        <v>90</v>
      </c>
      <c r="BA7" s="6" t="s">
        <v>91</v>
      </c>
      <c r="BB7" s="7" t="s">
        <v>159</v>
      </c>
    </row>
    <row r="8" spans="1:54" ht="96.75" customHeight="1" thickBot="1" x14ac:dyDescent="0.3">
      <c r="A8" s="89"/>
      <c r="B8" s="90"/>
      <c r="C8" s="90"/>
      <c r="D8" s="91"/>
      <c r="E8" s="99"/>
      <c r="F8" s="93">
        <v>1</v>
      </c>
      <c r="G8" s="33">
        <v>1</v>
      </c>
      <c r="H8" s="19" t="s">
        <v>92</v>
      </c>
      <c r="I8" s="19" t="s">
        <v>93</v>
      </c>
      <c r="J8" s="21">
        <v>1</v>
      </c>
      <c r="K8" s="21">
        <v>1</v>
      </c>
      <c r="L8" s="21">
        <v>1</v>
      </c>
      <c r="M8" s="27">
        <v>1</v>
      </c>
      <c r="N8" s="27">
        <v>1</v>
      </c>
      <c r="O8" s="21">
        <v>1</v>
      </c>
      <c r="P8" s="21">
        <v>1</v>
      </c>
      <c r="Q8" s="21">
        <v>1</v>
      </c>
      <c r="R8" s="5">
        <v>1</v>
      </c>
      <c r="S8" s="21"/>
      <c r="T8" s="21"/>
      <c r="U8" s="21"/>
      <c r="V8" s="36">
        <f>1</f>
        <v>1</v>
      </c>
      <c r="W8" s="36">
        <f>V8</f>
        <v>1</v>
      </c>
      <c r="X8" s="36"/>
      <c r="Y8" s="23" t="s">
        <v>94</v>
      </c>
      <c r="Z8" s="23" t="s">
        <v>95</v>
      </c>
      <c r="AA8" s="5">
        <v>1</v>
      </c>
      <c r="AB8" s="21">
        <v>1</v>
      </c>
      <c r="AC8" s="21">
        <v>1</v>
      </c>
      <c r="AD8" s="21">
        <v>1</v>
      </c>
      <c r="AE8" s="22" t="s">
        <v>96</v>
      </c>
      <c r="AF8" s="5">
        <f t="shared" si="1"/>
        <v>1</v>
      </c>
      <c r="AG8" s="5">
        <f>1</f>
        <v>1</v>
      </c>
      <c r="AH8" s="5">
        <f t="shared" si="0"/>
        <v>1</v>
      </c>
      <c r="AI8" s="38">
        <f>AH8/AG8</f>
        <v>1</v>
      </c>
      <c r="AJ8" s="59"/>
      <c r="AK8" s="5" t="s">
        <v>50</v>
      </c>
      <c r="AL8" s="48"/>
      <c r="AM8" s="48"/>
      <c r="AN8" s="57"/>
      <c r="AO8" s="5" t="s">
        <v>51</v>
      </c>
      <c r="AP8" s="34" t="s">
        <v>97</v>
      </c>
      <c r="AQ8" s="34" t="s">
        <v>97</v>
      </c>
      <c r="AR8" s="34">
        <v>0</v>
      </c>
      <c r="AS8" s="34">
        <v>0</v>
      </c>
      <c r="AT8" s="44"/>
      <c r="AU8" s="45"/>
      <c r="AV8" s="44"/>
      <c r="AW8" s="44"/>
      <c r="AX8" s="44"/>
      <c r="AY8" s="23" t="s">
        <v>98</v>
      </c>
      <c r="AZ8" s="23" t="s">
        <v>98</v>
      </c>
      <c r="BA8" s="23" t="s">
        <v>98</v>
      </c>
      <c r="BB8" s="28" t="s">
        <v>139</v>
      </c>
    </row>
    <row r="9" spans="1:54" ht="60" customHeight="1" thickBot="1" x14ac:dyDescent="0.3">
      <c r="A9" s="89"/>
      <c r="B9" s="90"/>
      <c r="C9" s="90"/>
      <c r="D9" s="100" t="s">
        <v>99</v>
      </c>
      <c r="E9" s="101" t="s">
        <v>100</v>
      </c>
      <c r="F9" s="102">
        <f>327/262</f>
        <v>1.248091603053435</v>
      </c>
      <c r="G9" s="56">
        <f>547/262</f>
        <v>2.0877862595419847</v>
      </c>
      <c r="H9" s="62" t="s">
        <v>101</v>
      </c>
      <c r="I9" s="62" t="s">
        <v>102</v>
      </c>
      <c r="J9" s="47">
        <f>154+70</f>
        <v>224</v>
      </c>
      <c r="K9" s="47">
        <v>65</v>
      </c>
      <c r="L9" s="47">
        <v>131</v>
      </c>
      <c r="M9" s="60">
        <v>196</v>
      </c>
      <c r="N9" s="60">
        <f>196+66</f>
        <v>262</v>
      </c>
      <c r="O9" s="47">
        <f>327-65</f>
        <v>262</v>
      </c>
      <c r="P9" s="47">
        <f>154+70+103</f>
        <v>327</v>
      </c>
      <c r="Q9" s="64">
        <f>327+18</f>
        <v>345</v>
      </c>
      <c r="R9" s="47">
        <f>202+Q9</f>
        <v>547</v>
      </c>
      <c r="S9" s="21"/>
      <c r="T9" s="21"/>
      <c r="U9" s="21"/>
      <c r="V9" s="47">
        <f>(R9-J9)</f>
        <v>323</v>
      </c>
      <c r="W9" s="47">
        <f>(J9+V9)</f>
        <v>547</v>
      </c>
      <c r="X9" s="35"/>
      <c r="Y9" s="51" t="s">
        <v>103</v>
      </c>
      <c r="Z9" s="51" t="s">
        <v>104</v>
      </c>
      <c r="AA9" s="47">
        <v>38</v>
      </c>
      <c r="AB9" s="47">
        <f>65+38</f>
        <v>103</v>
      </c>
      <c r="AC9" s="47">
        <f>151+AB9</f>
        <v>254</v>
      </c>
      <c r="AD9" s="47">
        <f>202+AC9</f>
        <v>456</v>
      </c>
      <c r="AE9" s="49" t="s">
        <v>105</v>
      </c>
      <c r="AF9" s="47">
        <f>J9</f>
        <v>224</v>
      </c>
      <c r="AG9" s="47">
        <v>66</v>
      </c>
      <c r="AH9" s="47">
        <f t="shared" si="0"/>
        <v>456</v>
      </c>
      <c r="AI9" s="56">
        <f>100%</f>
        <v>1</v>
      </c>
      <c r="AJ9" s="56">
        <f>AI9</f>
        <v>1</v>
      </c>
      <c r="AK9" s="47" t="s">
        <v>50</v>
      </c>
      <c r="AL9" s="47">
        <v>574400000</v>
      </c>
      <c r="AM9" s="47">
        <v>573040300</v>
      </c>
      <c r="AN9" s="58">
        <f>AM9/AL9</f>
        <v>0.99763283426183846</v>
      </c>
      <c r="AO9" s="47" t="s">
        <v>51</v>
      </c>
      <c r="AP9" s="12" t="s">
        <v>106</v>
      </c>
      <c r="AQ9" s="12" t="s">
        <v>53</v>
      </c>
      <c r="AR9" s="12">
        <v>390000000</v>
      </c>
      <c r="AS9" s="12">
        <v>389400000</v>
      </c>
      <c r="AT9" s="43" t="s">
        <v>106</v>
      </c>
      <c r="AU9" s="46" t="s">
        <v>156</v>
      </c>
      <c r="AV9" s="43" t="s">
        <v>53</v>
      </c>
      <c r="AW9" s="43">
        <v>574400000</v>
      </c>
      <c r="AX9" s="43">
        <v>573040300</v>
      </c>
      <c r="AY9" s="51" t="s">
        <v>107</v>
      </c>
      <c r="AZ9" s="51" t="s">
        <v>108</v>
      </c>
      <c r="BA9" s="51" t="s">
        <v>109</v>
      </c>
      <c r="BB9" s="53" t="s">
        <v>135</v>
      </c>
    </row>
    <row r="10" spans="1:54" ht="183.75" customHeight="1" thickBot="1" x14ac:dyDescent="0.3">
      <c r="A10" s="89"/>
      <c r="B10" s="90"/>
      <c r="C10" s="90"/>
      <c r="D10" s="103"/>
      <c r="E10" s="104"/>
      <c r="F10" s="105"/>
      <c r="G10" s="57"/>
      <c r="H10" s="63"/>
      <c r="I10" s="63"/>
      <c r="J10" s="48"/>
      <c r="K10" s="48"/>
      <c r="L10" s="48"/>
      <c r="M10" s="61"/>
      <c r="N10" s="61"/>
      <c r="O10" s="48"/>
      <c r="P10" s="48"/>
      <c r="Q10" s="65"/>
      <c r="R10" s="48"/>
      <c r="S10" s="5"/>
      <c r="T10" s="5"/>
      <c r="U10" s="5"/>
      <c r="V10" s="48"/>
      <c r="W10" s="48"/>
      <c r="X10" s="36"/>
      <c r="Y10" s="52"/>
      <c r="Z10" s="52"/>
      <c r="AA10" s="48"/>
      <c r="AB10" s="48"/>
      <c r="AC10" s="48"/>
      <c r="AD10" s="48"/>
      <c r="AE10" s="50"/>
      <c r="AF10" s="48"/>
      <c r="AG10" s="48"/>
      <c r="AH10" s="48"/>
      <c r="AI10" s="57"/>
      <c r="AJ10" s="57"/>
      <c r="AK10" s="48"/>
      <c r="AL10" s="48"/>
      <c r="AM10" s="48"/>
      <c r="AN10" s="59"/>
      <c r="AO10" s="48"/>
      <c r="AP10" s="34" t="s">
        <v>110</v>
      </c>
      <c r="AQ10" s="34" t="s">
        <v>111</v>
      </c>
      <c r="AR10" s="34">
        <v>185000000</v>
      </c>
      <c r="AS10" s="34">
        <v>185000000</v>
      </c>
      <c r="AT10" s="44"/>
      <c r="AU10" s="45"/>
      <c r="AV10" s="44"/>
      <c r="AW10" s="44"/>
      <c r="AX10" s="44"/>
      <c r="AY10" s="52"/>
      <c r="AZ10" s="52"/>
      <c r="BA10" s="52"/>
      <c r="BB10" s="54"/>
    </row>
    <row r="11" spans="1:54" ht="102" customHeight="1" thickBot="1" x14ac:dyDescent="0.3">
      <c r="A11" s="89"/>
      <c r="B11" s="90"/>
      <c r="C11" s="90"/>
      <c r="D11" s="106" t="s">
        <v>79</v>
      </c>
      <c r="E11" s="101" t="s">
        <v>112</v>
      </c>
      <c r="F11" s="102">
        <f>335700/390745</f>
        <v>0.85912807585509732</v>
      </c>
      <c r="G11" s="56">
        <f>402805/335700</f>
        <v>1.1998957402442658</v>
      </c>
      <c r="H11" s="62" t="s">
        <v>113</v>
      </c>
      <c r="I11" s="62" t="s">
        <v>114</v>
      </c>
      <c r="J11" s="47">
        <f>155500+52887</f>
        <v>208387</v>
      </c>
      <c r="K11" s="47">
        <v>445158</v>
      </c>
      <c r="L11" s="47">
        <v>442005</v>
      </c>
      <c r="M11" s="60">
        <v>388853</v>
      </c>
      <c r="N11" s="60">
        <v>335700</v>
      </c>
      <c r="O11" s="51" t="s">
        <v>84</v>
      </c>
      <c r="P11" s="47">
        <v>390745</v>
      </c>
      <c r="Q11" s="51">
        <f>4338+P11</f>
        <v>395083</v>
      </c>
      <c r="R11" s="47">
        <f>7722+Q11</f>
        <v>402805</v>
      </c>
      <c r="S11" s="5"/>
      <c r="T11" s="5"/>
      <c r="U11" s="5"/>
      <c r="V11" s="47">
        <f>(548310-402310)</f>
        <v>146000</v>
      </c>
      <c r="W11" s="47">
        <f>(V11)</f>
        <v>146000</v>
      </c>
      <c r="X11" s="35"/>
      <c r="Y11" s="51" t="s">
        <v>115</v>
      </c>
      <c r="Z11" s="51" t="s">
        <v>116</v>
      </c>
      <c r="AA11" s="47">
        <v>2721</v>
      </c>
      <c r="AB11" s="47">
        <f>2721+4000</f>
        <v>6721</v>
      </c>
      <c r="AC11" s="47">
        <f>4338+AB11</f>
        <v>11059</v>
      </c>
      <c r="AD11" s="47">
        <f>7722+AC11</f>
        <v>18781</v>
      </c>
      <c r="AE11" s="49" t="s">
        <v>117</v>
      </c>
      <c r="AF11" s="47">
        <f>J11</f>
        <v>208387</v>
      </c>
      <c r="AG11" s="47">
        <f>M11-AF11</f>
        <v>180466</v>
      </c>
      <c r="AH11" s="47">
        <f>AD11</f>
        <v>18781</v>
      </c>
      <c r="AI11" s="58">
        <f>AH11/AG11</f>
        <v>0.10406946460829186</v>
      </c>
      <c r="AJ11" s="58">
        <f>AI11</f>
        <v>0.10406946460829186</v>
      </c>
      <c r="AK11" s="47" t="s">
        <v>50</v>
      </c>
      <c r="AL11" s="47">
        <v>3014100000</v>
      </c>
      <c r="AM11" s="47">
        <v>2983440300</v>
      </c>
      <c r="AN11" s="58">
        <f>AM11/AL11</f>
        <v>0.98982790882850602</v>
      </c>
      <c r="AO11" s="47" t="s">
        <v>51</v>
      </c>
      <c r="AP11" s="12" t="s">
        <v>118</v>
      </c>
      <c r="AQ11" s="12" t="s">
        <v>53</v>
      </c>
      <c r="AR11" s="12">
        <v>1804700000</v>
      </c>
      <c r="AS11" s="12">
        <v>1777200000</v>
      </c>
      <c r="AT11" s="43" t="s">
        <v>118</v>
      </c>
      <c r="AU11" s="46" t="s">
        <v>157</v>
      </c>
      <c r="AV11" s="43" t="s">
        <v>53</v>
      </c>
      <c r="AW11" s="43">
        <v>2108700000</v>
      </c>
      <c r="AX11" s="43">
        <v>2079400000</v>
      </c>
      <c r="AY11" s="51" t="s">
        <v>119</v>
      </c>
      <c r="AZ11" s="51" t="s">
        <v>120</v>
      </c>
      <c r="BA11" s="51" t="s">
        <v>121</v>
      </c>
      <c r="BB11" s="53" t="s">
        <v>136</v>
      </c>
    </row>
    <row r="12" spans="1:54" ht="409.5" customHeight="1" thickBot="1" x14ac:dyDescent="0.3">
      <c r="A12" s="89"/>
      <c r="B12" s="90"/>
      <c r="C12" s="90"/>
      <c r="D12" s="107"/>
      <c r="E12" s="104"/>
      <c r="F12" s="105"/>
      <c r="G12" s="57"/>
      <c r="H12" s="63"/>
      <c r="I12" s="63"/>
      <c r="J12" s="48"/>
      <c r="K12" s="48"/>
      <c r="L12" s="48"/>
      <c r="M12" s="61"/>
      <c r="N12" s="61"/>
      <c r="O12" s="52"/>
      <c r="P12" s="48"/>
      <c r="Q12" s="52"/>
      <c r="R12" s="48"/>
      <c r="S12" s="5"/>
      <c r="T12" s="5"/>
      <c r="U12" s="5"/>
      <c r="V12" s="48"/>
      <c r="W12" s="48"/>
      <c r="X12" s="36"/>
      <c r="Y12" s="52"/>
      <c r="Z12" s="52"/>
      <c r="AA12" s="48"/>
      <c r="AB12" s="48"/>
      <c r="AC12" s="48"/>
      <c r="AD12" s="48"/>
      <c r="AE12" s="50"/>
      <c r="AF12" s="48"/>
      <c r="AG12" s="48"/>
      <c r="AH12" s="48"/>
      <c r="AI12" s="59"/>
      <c r="AJ12" s="59"/>
      <c r="AK12" s="48"/>
      <c r="AL12" s="48"/>
      <c r="AM12" s="48"/>
      <c r="AN12" s="59"/>
      <c r="AO12" s="48"/>
      <c r="AP12" s="34" t="s">
        <v>122</v>
      </c>
      <c r="AQ12" s="34" t="s">
        <v>111</v>
      </c>
      <c r="AR12" s="34">
        <v>301200000</v>
      </c>
      <c r="AS12" s="34"/>
      <c r="AT12" s="44"/>
      <c r="AU12" s="44"/>
      <c r="AV12" s="44"/>
      <c r="AW12" s="44"/>
      <c r="AX12" s="44"/>
      <c r="AY12" s="52"/>
      <c r="AZ12" s="52"/>
      <c r="BA12" s="52"/>
      <c r="BB12" s="55"/>
    </row>
    <row r="13" spans="1:54" ht="113.25" customHeight="1" thickBot="1" x14ac:dyDescent="0.3">
      <c r="A13" s="108"/>
      <c r="B13" s="94"/>
      <c r="C13" s="94"/>
      <c r="D13" s="95" t="s">
        <v>123</v>
      </c>
      <c r="E13" s="87" t="s">
        <v>124</v>
      </c>
      <c r="F13" s="88">
        <f>24729/2500</f>
        <v>9.8916000000000004</v>
      </c>
      <c r="G13" s="15">
        <f>24729/2500</f>
        <v>9.8916000000000004</v>
      </c>
      <c r="H13" s="17" t="s">
        <v>125</v>
      </c>
      <c r="I13" s="17" t="s">
        <v>126</v>
      </c>
      <c r="J13" s="5">
        <f>1920+3420</f>
        <v>5340</v>
      </c>
      <c r="K13" s="5">
        <v>1775</v>
      </c>
      <c r="L13" s="5">
        <v>2017</v>
      </c>
      <c r="M13" s="26">
        <v>2258</v>
      </c>
      <c r="N13" s="26">
        <v>2500</v>
      </c>
      <c r="O13" s="5">
        <f>24729-2000</f>
        <v>22729</v>
      </c>
      <c r="P13" s="5">
        <f>19200+3421+2108</f>
        <v>24729</v>
      </c>
      <c r="Q13" s="5">
        <v>0</v>
      </c>
      <c r="R13" s="5"/>
      <c r="S13" s="5"/>
      <c r="T13" s="5"/>
      <c r="U13" s="5"/>
      <c r="V13" s="5">
        <f>(P13-J13)</f>
        <v>19389</v>
      </c>
      <c r="W13" s="5">
        <f>(J13+V13)</f>
        <v>24729</v>
      </c>
      <c r="X13" s="5"/>
      <c r="Y13" s="6" t="s">
        <v>127</v>
      </c>
      <c r="Z13" s="6" t="s">
        <v>128</v>
      </c>
      <c r="AA13" s="5">
        <v>108</v>
      </c>
      <c r="AB13" s="5">
        <v>2108</v>
      </c>
      <c r="AC13" s="5"/>
      <c r="AD13" s="5"/>
      <c r="AE13" s="6" t="s">
        <v>129</v>
      </c>
      <c r="AF13" s="5">
        <f t="shared" si="1"/>
        <v>5340</v>
      </c>
      <c r="AG13" s="5">
        <v>242</v>
      </c>
      <c r="AH13" s="5">
        <f>AB13</f>
        <v>2108</v>
      </c>
      <c r="AI13" s="39">
        <f>100%</f>
        <v>1</v>
      </c>
      <c r="AJ13" s="38">
        <f>AI13</f>
        <v>1</v>
      </c>
      <c r="AK13" s="5" t="s">
        <v>50</v>
      </c>
      <c r="AL13" s="5">
        <v>188800000</v>
      </c>
      <c r="AM13" s="5">
        <v>188800000</v>
      </c>
      <c r="AN13" s="15">
        <f>AM13/AL13</f>
        <v>1</v>
      </c>
      <c r="AO13" s="5" t="s">
        <v>51</v>
      </c>
      <c r="AP13" s="6" t="s">
        <v>130</v>
      </c>
      <c r="AQ13" s="6" t="s">
        <v>111</v>
      </c>
      <c r="AR13" s="6">
        <v>190000000</v>
      </c>
      <c r="AS13" s="6">
        <v>188800000</v>
      </c>
      <c r="AT13" s="6" t="s">
        <v>130</v>
      </c>
      <c r="AU13" s="6" t="s">
        <v>158</v>
      </c>
      <c r="AV13" s="6" t="s">
        <v>111</v>
      </c>
      <c r="AW13" s="6">
        <v>188800000</v>
      </c>
      <c r="AX13" s="6">
        <v>188800000</v>
      </c>
      <c r="AY13" s="6" t="s">
        <v>131</v>
      </c>
      <c r="AZ13" s="6" t="s">
        <v>132</v>
      </c>
      <c r="BA13" s="6" t="s">
        <v>133</v>
      </c>
      <c r="BB13" s="8"/>
    </row>
    <row r="14" spans="1:54" ht="23.25" x14ac:dyDescent="0.25">
      <c r="AJ14" s="40">
        <f>SUM(AJ4:AJ13)/(6)</f>
        <v>0.85067824410138204</v>
      </c>
      <c r="AL14" s="41">
        <f>SUM(AL4:AL13)</f>
        <v>5055400000</v>
      </c>
      <c r="AM14" s="41">
        <f>SUM(AM4:AM13)</f>
        <v>5020480600</v>
      </c>
      <c r="AN14" s="42">
        <f>AM14/AL14</f>
        <v>0.99309265340032438</v>
      </c>
      <c r="AP14" s="3"/>
      <c r="AQ14" s="3"/>
      <c r="AR14" s="3"/>
      <c r="AS14" s="3"/>
      <c r="AT14" s="3"/>
      <c r="AU14" s="3"/>
      <c r="AV14" s="3"/>
      <c r="AW14" s="3"/>
      <c r="AX14" s="3"/>
    </row>
    <row r="15" spans="1:54" x14ac:dyDescent="0.25">
      <c r="AP15" s="3"/>
      <c r="AQ15" s="3"/>
      <c r="AR15" s="3"/>
      <c r="AS15" s="3"/>
      <c r="AT15" s="3"/>
      <c r="AU15" s="3"/>
      <c r="AV15" s="3"/>
      <c r="AW15" s="3"/>
      <c r="AX15" s="3"/>
    </row>
    <row r="16" spans="1:54" x14ac:dyDescent="0.25">
      <c r="AP16" s="3"/>
      <c r="AQ16" s="3"/>
      <c r="AR16" s="3"/>
      <c r="AS16" s="3"/>
      <c r="AT16" s="3"/>
      <c r="AU16" s="3"/>
      <c r="AV16" s="3"/>
      <c r="AW16" s="3"/>
      <c r="AX16" s="3"/>
    </row>
    <row r="17" spans="42:50" x14ac:dyDescent="0.25">
      <c r="AP17" s="3"/>
      <c r="AQ17" s="3"/>
      <c r="AR17" s="3"/>
      <c r="AS17" s="3"/>
      <c r="AT17" s="3"/>
      <c r="AU17" s="3"/>
      <c r="AV17" s="3"/>
      <c r="AW17" s="3"/>
      <c r="AX17" s="3"/>
    </row>
    <row r="18" spans="42:50" x14ac:dyDescent="0.25">
      <c r="AP18" s="3"/>
      <c r="AQ18" s="3"/>
      <c r="AR18" s="3"/>
      <c r="AS18" s="3"/>
      <c r="AT18" s="3"/>
      <c r="AU18" s="3"/>
      <c r="AV18" s="3"/>
      <c r="AW18" s="3"/>
      <c r="AX18" s="3"/>
    </row>
    <row r="19" spans="42:50" x14ac:dyDescent="0.25">
      <c r="AP19" s="3"/>
      <c r="AQ19" s="3"/>
      <c r="AR19" s="3"/>
      <c r="AS19" s="3"/>
      <c r="AT19" s="3"/>
      <c r="AU19" s="3"/>
      <c r="AV19" s="3"/>
      <c r="AW19" s="3"/>
      <c r="AX19" s="3"/>
    </row>
    <row r="20" spans="42:50" x14ac:dyDescent="0.25">
      <c r="AP20" s="3"/>
      <c r="AQ20" s="3"/>
      <c r="AR20" s="3"/>
      <c r="AS20" s="3"/>
      <c r="AT20" s="3"/>
      <c r="AU20" s="3"/>
      <c r="AV20" s="3"/>
      <c r="AW20" s="3"/>
      <c r="AX20" s="3"/>
    </row>
    <row r="21" spans="42:50" x14ac:dyDescent="0.25">
      <c r="AP21" s="3"/>
      <c r="AQ21" s="3"/>
      <c r="AR21" s="3"/>
      <c r="AS21" s="3"/>
      <c r="AT21" s="3"/>
      <c r="AU21" s="3"/>
      <c r="AV21" s="3"/>
      <c r="AW21" s="3"/>
      <c r="AX21" s="3"/>
    </row>
    <row r="22" spans="42:50" x14ac:dyDescent="0.25">
      <c r="AP22" s="3"/>
      <c r="AQ22" s="3"/>
      <c r="AR22" s="3"/>
      <c r="AS22" s="3"/>
      <c r="AT22" s="3"/>
      <c r="AU22" s="3"/>
      <c r="AV22" s="3"/>
      <c r="AW22" s="3"/>
      <c r="AX22" s="3"/>
    </row>
    <row r="23" spans="42:50" x14ac:dyDescent="0.25">
      <c r="AP23" s="3"/>
      <c r="AQ23" s="3"/>
      <c r="AR23" s="3"/>
      <c r="AS23" s="3"/>
      <c r="AT23" s="3"/>
      <c r="AU23" s="3"/>
      <c r="AV23" s="3"/>
      <c r="AW23" s="3"/>
      <c r="AX23" s="3"/>
    </row>
    <row r="24" spans="42:50" x14ac:dyDescent="0.25">
      <c r="AP24" s="3"/>
      <c r="AQ24" s="3"/>
      <c r="AR24" s="3"/>
      <c r="AS24" s="3"/>
      <c r="AT24" s="3"/>
      <c r="AU24" s="3"/>
      <c r="AV24" s="3"/>
      <c r="AW24" s="3"/>
      <c r="AX24" s="3"/>
    </row>
    <row r="25" spans="42:50" x14ac:dyDescent="0.25">
      <c r="AP25" s="3"/>
      <c r="AQ25" s="3"/>
      <c r="AR25" s="3"/>
      <c r="AS25" s="3"/>
      <c r="AT25" s="3"/>
      <c r="AU25" s="3"/>
      <c r="AV25" s="3"/>
      <c r="AW25" s="3"/>
      <c r="AX25" s="3"/>
    </row>
    <row r="26" spans="42:50" x14ac:dyDescent="0.25">
      <c r="AP26" s="3"/>
      <c r="AQ26" s="3"/>
      <c r="AR26" s="3"/>
      <c r="AS26" s="3"/>
      <c r="AT26" s="3"/>
      <c r="AU26" s="3"/>
      <c r="AV26" s="3"/>
      <c r="AW26" s="3"/>
      <c r="AX26" s="3"/>
    </row>
    <row r="27" spans="42:50" x14ac:dyDescent="0.25">
      <c r="AP27" s="3"/>
      <c r="AQ27" s="3"/>
      <c r="AR27" s="3"/>
      <c r="AS27" s="3"/>
      <c r="AT27" s="3"/>
      <c r="AU27" s="3"/>
      <c r="AV27" s="3"/>
      <c r="AW27" s="3"/>
      <c r="AX27" s="3"/>
    </row>
    <row r="28" spans="42:50" x14ac:dyDescent="0.25">
      <c r="AP28" s="3"/>
      <c r="AQ28" s="3"/>
      <c r="AR28" s="3"/>
      <c r="AS28" s="3"/>
      <c r="AT28" s="3"/>
      <c r="AU28" s="3"/>
      <c r="AV28" s="3"/>
      <c r="AW28" s="3"/>
      <c r="AX28" s="3"/>
    </row>
    <row r="29" spans="42:50" x14ac:dyDescent="0.25">
      <c r="AP29" s="3"/>
      <c r="AQ29" s="3"/>
      <c r="AR29" s="3"/>
      <c r="AS29" s="3"/>
      <c r="AT29" s="3"/>
      <c r="AU29" s="3"/>
      <c r="AV29" s="3"/>
      <c r="AW29" s="3"/>
      <c r="AX29" s="3"/>
    </row>
  </sheetData>
  <mergeCells count="160">
    <mergeCell ref="AJ4:AJ5"/>
    <mergeCell ref="AJ7:AJ8"/>
    <mergeCell ref="AJ9:AJ10"/>
    <mergeCell ref="AJ11:AJ12"/>
    <mergeCell ref="AL2:AL3"/>
    <mergeCell ref="AM2:AM3"/>
    <mergeCell ref="AN2:AN3"/>
    <mergeCell ref="AL4:AL5"/>
    <mergeCell ref="AM4:AM5"/>
    <mergeCell ref="AN4:AN5"/>
    <mergeCell ref="AL7:AL8"/>
    <mergeCell ref="AM7:AM8"/>
    <mergeCell ref="AN7:AN8"/>
    <mergeCell ref="AL9:AL10"/>
    <mergeCell ref="AM9:AM10"/>
    <mergeCell ref="AN9:AN10"/>
    <mergeCell ref="AL11:AL12"/>
    <mergeCell ref="AM11:AM12"/>
    <mergeCell ref="AN11:AN12"/>
    <mergeCell ref="A1:BB1"/>
    <mergeCell ref="E2:E3"/>
    <mergeCell ref="AZ2:AZ3"/>
    <mergeCell ref="BA2:BA3"/>
    <mergeCell ref="BB2:BB3"/>
    <mergeCell ref="P2:P3"/>
    <mergeCell ref="Q2:Q3"/>
    <mergeCell ref="Z2:Z3"/>
    <mergeCell ref="AC2:AC3"/>
    <mergeCell ref="AE2:AG2"/>
    <mergeCell ref="AA2:AA3"/>
    <mergeCell ref="Y2:Y3"/>
    <mergeCell ref="S2:S3"/>
    <mergeCell ref="T2:T3"/>
    <mergeCell ref="U2:U3"/>
    <mergeCell ref="AB2:AB3"/>
    <mergeCell ref="AD2:AD3"/>
    <mergeCell ref="AY2:AY3"/>
    <mergeCell ref="V2:V3"/>
    <mergeCell ref="W2:W3"/>
    <mergeCell ref="AH2:AH3"/>
    <mergeCell ref="AI2:AI3"/>
    <mergeCell ref="AJ2:AJ3"/>
    <mergeCell ref="AT2:AT3"/>
    <mergeCell ref="A4:A13"/>
    <mergeCell ref="B4:B13"/>
    <mergeCell ref="C4:C6"/>
    <mergeCell ref="D4:D5"/>
    <mergeCell ref="C7:C13"/>
    <mergeCell ref="D7:D8"/>
    <mergeCell ref="AK2:AK3"/>
    <mergeCell ref="AO2:AO3"/>
    <mergeCell ref="AP2:AS2"/>
    <mergeCell ref="F2:F3"/>
    <mergeCell ref="G2:G3"/>
    <mergeCell ref="H2:H3"/>
    <mergeCell ref="I2:I3"/>
    <mergeCell ref="R2:R3"/>
    <mergeCell ref="O2:O3"/>
    <mergeCell ref="J2:J3"/>
    <mergeCell ref="K2:K3"/>
    <mergeCell ref="L2:L3"/>
    <mergeCell ref="M2:M3"/>
    <mergeCell ref="N2:N3"/>
    <mergeCell ref="A2:A3"/>
    <mergeCell ref="B2:B3"/>
    <mergeCell ref="C2:C3"/>
    <mergeCell ref="D2:D3"/>
    <mergeCell ref="E7:E8"/>
    <mergeCell ref="AD9:AD10"/>
    <mergeCell ref="AC9:AC10"/>
    <mergeCell ref="AB9:AB10"/>
    <mergeCell ref="AA9:AA10"/>
    <mergeCell ref="Z9:Z10"/>
    <mergeCell ref="Y9:Y10"/>
    <mergeCell ref="R9:R10"/>
    <mergeCell ref="Q9:Q10"/>
    <mergeCell ref="P9:P10"/>
    <mergeCell ref="O9:O10"/>
    <mergeCell ref="N9:N10"/>
    <mergeCell ref="V9:V10"/>
    <mergeCell ref="W9:W10"/>
    <mergeCell ref="M11:M12"/>
    <mergeCell ref="N11:N12"/>
    <mergeCell ref="O11:O12"/>
    <mergeCell ref="H9:H10"/>
    <mergeCell ref="G9:G10"/>
    <mergeCell ref="F9:F10"/>
    <mergeCell ref="E9:E10"/>
    <mergeCell ref="D9:D10"/>
    <mergeCell ref="M9:M10"/>
    <mergeCell ref="L9:L10"/>
    <mergeCell ref="K9:K10"/>
    <mergeCell ref="J9:J10"/>
    <mergeCell ref="I9:I10"/>
    <mergeCell ref="D11:D12"/>
    <mergeCell ref="E11:E12"/>
    <mergeCell ref="F11:F12"/>
    <mergeCell ref="G11:G12"/>
    <mergeCell ref="H11:H12"/>
    <mergeCell ref="I11:I12"/>
    <mergeCell ref="J11:J12"/>
    <mergeCell ref="K11:K12"/>
    <mergeCell ref="L11:L12"/>
    <mergeCell ref="AZ9:AZ10"/>
    <mergeCell ref="BA9:BA10"/>
    <mergeCell ref="BB9:BB10"/>
    <mergeCell ref="AO9:AO10"/>
    <mergeCell ref="AK9:AK10"/>
    <mergeCell ref="AG9:AG10"/>
    <mergeCell ref="AF9:AF10"/>
    <mergeCell ref="AE9:AE10"/>
    <mergeCell ref="AZ11:AZ12"/>
    <mergeCell ref="BA11:BA12"/>
    <mergeCell ref="BB11:BB12"/>
    <mergeCell ref="AF11:AF12"/>
    <mergeCell ref="AG11:AG12"/>
    <mergeCell ref="AK11:AK12"/>
    <mergeCell ref="AO11:AO12"/>
    <mergeCell ref="AY11:AY12"/>
    <mergeCell ref="AH9:AH10"/>
    <mergeCell ref="AH11:AH12"/>
    <mergeCell ref="AI9:AI10"/>
    <mergeCell ref="AI11:AI12"/>
    <mergeCell ref="AC11:AC12"/>
    <mergeCell ref="AD11:AD12"/>
    <mergeCell ref="AE11:AE12"/>
    <mergeCell ref="P11:P12"/>
    <mergeCell ref="Q11:Q12"/>
    <mergeCell ref="R11:R12"/>
    <mergeCell ref="Y11:Y12"/>
    <mergeCell ref="Z11:Z12"/>
    <mergeCell ref="AY9:AY10"/>
    <mergeCell ref="AA11:AA12"/>
    <mergeCell ref="AB11:AB12"/>
    <mergeCell ref="V11:V12"/>
    <mergeCell ref="W11:W12"/>
    <mergeCell ref="AT11:AT12"/>
    <mergeCell ref="AU11:AU12"/>
    <mergeCell ref="AV11:AV12"/>
    <mergeCell ref="AW11:AW12"/>
    <mergeCell ref="AX11:AX12"/>
    <mergeCell ref="AU2:AU3"/>
    <mergeCell ref="AV2:AV3"/>
    <mergeCell ref="AW2:AW3"/>
    <mergeCell ref="AX2:AX3"/>
    <mergeCell ref="AT4:AT5"/>
    <mergeCell ref="AU4:AU5"/>
    <mergeCell ref="AV4:AV5"/>
    <mergeCell ref="AW4:AW5"/>
    <mergeCell ref="AX4:AX5"/>
    <mergeCell ref="AT7:AT8"/>
    <mergeCell ref="AU7:AU8"/>
    <mergeCell ref="AV7:AV8"/>
    <mergeCell ref="AW7:AW8"/>
    <mergeCell ref="AX7:AX8"/>
    <mergeCell ref="AT9:AT10"/>
    <mergeCell ref="AU9:AU10"/>
    <mergeCell ref="AV9:AV10"/>
    <mergeCell ref="AW9:AW10"/>
    <mergeCell ref="AX9:AX10"/>
  </mergeCells>
  <pageMargins left="0.7" right="0.7" top="0.75" bottom="0.75" header="0.3" footer="0.3"/>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PLAN ACCION</vt:lpstr>
    </vt:vector>
  </TitlesOfParts>
  <Manager/>
  <Company>Hewlett-Packard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marina severiche monroy</dc:creator>
  <cp:keywords/>
  <dc:description/>
  <cp:lastModifiedBy>ester  garcia turizo</cp:lastModifiedBy>
  <cp:revision/>
  <cp:lastPrinted>2018-12-20T17:01:03Z</cp:lastPrinted>
  <dcterms:created xsi:type="dcterms:W3CDTF">2018-02-06T19:52:13Z</dcterms:created>
  <dcterms:modified xsi:type="dcterms:W3CDTF">2019-01-31T17:18:50Z</dcterms:modified>
  <cp:category/>
  <cp:contentStatus/>
</cp:coreProperties>
</file>