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ma\OneDrive\Documentos\SEGUIMIENTOS PLANES DE ACCIÓN A DICIEMBRE 31 DE 2021\"/>
    </mc:Choice>
  </mc:AlternateContent>
  <xr:revisionPtr revIDLastSave="0" documentId="13_ncr:1_{C1DDEFD2-F90E-4F36-B647-EB1CA80CD593}" xr6:coauthVersionLast="47" xr6:coauthVersionMax="47" xr10:uidLastSave="{00000000-0000-0000-0000-000000000000}"/>
  <bookViews>
    <workbookView xWindow="-110" yWindow="-110" windowWidth="19420" windowHeight="10420" tabRatio="641" xr2:uid="{00000000-000D-0000-FFFF-FFFF00000000}"/>
  </bookViews>
  <sheets>
    <sheet name="Base General" sheetId="1" r:id="rId1"/>
  </sheets>
  <definedNames>
    <definedName name="_xlnm._FilterDatabase" localSheetId="0" hidden="1">'Base General'!$A$3:$AQ$103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7" i="1" l="1"/>
  <c r="AR16" i="1"/>
  <c r="AR81" i="1"/>
  <c r="AN61" i="1"/>
  <c r="AE98" i="1"/>
  <c r="AE97" i="1"/>
  <c r="AE96" i="1"/>
  <c r="AE95" i="1"/>
  <c r="AE94" i="1"/>
  <c r="AE92" i="1"/>
  <c r="AE91" i="1"/>
  <c r="AE89" i="1"/>
  <c r="AE87" i="1"/>
  <c r="AE86" i="1"/>
  <c r="AE80" i="1"/>
  <c r="AE79" i="1"/>
  <c r="AE78" i="1"/>
  <c r="AE77" i="1"/>
  <c r="AE76" i="1"/>
  <c r="AE67" i="1"/>
  <c r="AE66" i="1"/>
  <c r="AE64" i="1"/>
  <c r="AE63" i="1"/>
  <c r="AE62" i="1"/>
  <c r="AE61" i="1"/>
  <c r="AE59" i="1"/>
  <c r="AE57" i="1"/>
  <c r="AE56" i="1"/>
  <c r="AE55" i="1"/>
  <c r="AE54" i="1"/>
  <c r="AE53" i="1"/>
  <c r="AE52" i="1"/>
  <c r="AE51" i="1"/>
  <c r="AE48" i="1"/>
  <c r="AE45" i="1"/>
  <c r="AE42" i="1"/>
  <c r="AE34" i="1"/>
  <c r="AE32" i="1"/>
  <c r="AE31" i="1"/>
  <c r="AE30" i="1"/>
  <c r="AE26" i="1"/>
  <c r="AE25" i="1"/>
  <c r="AE24" i="1"/>
  <c r="AE23" i="1"/>
  <c r="AE22" i="1"/>
  <c r="AE21" i="1"/>
  <c r="AE17" i="1"/>
  <c r="AE16" i="1"/>
  <c r="AE14" i="1"/>
  <c r="AE13" i="1"/>
  <c r="AE12" i="1"/>
  <c r="AE7" i="1"/>
  <c r="AE4" i="1"/>
  <c r="AE100" i="1"/>
  <c r="AE101" i="1"/>
  <c r="AE102" i="1"/>
  <c r="AE103" i="1"/>
  <c r="AD49" i="1"/>
  <c r="AD47" i="1"/>
  <c r="AD46" i="1"/>
  <c r="AD44" i="1"/>
  <c r="AE44" i="1" s="1"/>
  <c r="AD43" i="1"/>
  <c r="AD42" i="1"/>
  <c r="AD41" i="1"/>
  <c r="AD29" i="1"/>
  <c r="AE29" i="1" s="1"/>
  <c r="AD28" i="1"/>
  <c r="AE28" i="1" s="1"/>
  <c r="S101" i="1"/>
  <c r="S100" i="1"/>
  <c r="S94" i="1"/>
  <c r="S87" i="1"/>
  <c r="S86" i="1"/>
  <c r="S84" i="1"/>
  <c r="S83" i="1"/>
  <c r="S82" i="1"/>
  <c r="S80" i="1"/>
  <c r="S77" i="1"/>
  <c r="S76" i="1"/>
  <c r="S73" i="1"/>
  <c r="S71" i="1"/>
  <c r="S70" i="1"/>
  <c r="S67" i="1"/>
  <c r="S66" i="1"/>
  <c r="S61" i="1"/>
  <c r="S59" i="1"/>
  <c r="S47" i="1"/>
  <c r="S44" i="1"/>
  <c r="S43" i="1"/>
  <c r="S41" i="1"/>
  <c r="S34" i="1"/>
  <c r="S28" i="1"/>
  <c r="S21" i="1"/>
  <c r="S17" i="1"/>
  <c r="S16" i="1"/>
  <c r="S15" i="1"/>
  <c r="S14" i="1"/>
  <c r="S13" i="1"/>
  <c r="S12" i="1"/>
  <c r="S7" i="1"/>
  <c r="S4" i="1"/>
  <c r="AF34" i="1" l="1"/>
  <c r="AF39" i="1" s="1"/>
  <c r="AF26" i="1"/>
  <c r="AF25" i="1"/>
  <c r="AF23" i="1"/>
  <c r="AF22" i="1"/>
  <c r="AF24" i="1"/>
  <c r="AF21" i="1"/>
  <c r="AF27" i="1" l="1"/>
  <c r="AF67" i="1"/>
  <c r="AF66" i="1"/>
  <c r="AF17" i="1" l="1"/>
  <c r="AF20" i="1" s="1"/>
  <c r="AC90" i="1" l="1"/>
  <c r="AE90" i="1" s="1"/>
  <c r="AC49" i="1" l="1"/>
  <c r="AE49" i="1" s="1"/>
  <c r="AC47" i="1"/>
  <c r="AE47" i="1" s="1"/>
  <c r="AC46" i="1"/>
  <c r="AE46" i="1" s="1"/>
  <c r="AC43" i="1"/>
  <c r="AE43" i="1" s="1"/>
  <c r="AC41" i="1"/>
  <c r="AE41" i="1" s="1"/>
  <c r="AF100" i="1" l="1"/>
  <c r="AF76" i="1"/>
  <c r="AF68" i="1"/>
  <c r="AF48" i="1"/>
  <c r="AF45" i="1"/>
  <c r="AF44" i="1"/>
  <c r="AF12" i="1"/>
  <c r="AF7" i="1"/>
  <c r="AF10" i="1" s="1"/>
  <c r="AF4" i="1"/>
  <c r="AF5" i="1" s="1"/>
  <c r="T101" i="1" l="1"/>
  <c r="U100" i="1"/>
  <c r="U84" i="1"/>
  <c r="U83" i="1"/>
  <c r="U80" i="1"/>
  <c r="T76" i="1"/>
  <c r="T73" i="1"/>
  <c r="T74" i="1" s="1"/>
  <c r="T70" i="1"/>
  <c r="T72" i="1" s="1"/>
  <c r="U67" i="1"/>
  <c r="T59" i="1"/>
  <c r="U51" i="1"/>
  <c r="T47" i="1"/>
  <c r="M43" i="1"/>
  <c r="N43" i="1"/>
  <c r="N41" i="1"/>
  <c r="M41" i="1"/>
  <c r="U34" i="1"/>
  <c r="U39" i="1" s="1"/>
  <c r="T28" i="1"/>
  <c r="T33" i="1" s="1"/>
  <c r="T21" i="1"/>
  <c r="T16" i="1"/>
  <c r="T14" i="1"/>
  <c r="T13" i="1"/>
  <c r="U12" i="1"/>
  <c r="T7" i="1"/>
  <c r="T10" i="1" s="1"/>
  <c r="T11" i="1" s="1"/>
  <c r="M94" i="1"/>
  <c r="M59" i="1"/>
  <c r="M47" i="1"/>
  <c r="M44" i="1"/>
  <c r="M4" i="1"/>
  <c r="AR9" i="1"/>
  <c r="AR7" i="1"/>
  <c r="AF103" i="1"/>
  <c r="AF102" i="1"/>
  <c r="AF101" i="1"/>
  <c r="AF98" i="1"/>
  <c r="AF97" i="1"/>
  <c r="AF96" i="1"/>
  <c r="U66" i="1" l="1"/>
  <c r="T66" i="1"/>
  <c r="AF104" i="1"/>
  <c r="U13" i="1"/>
  <c r="U86" i="1"/>
  <c r="T86" i="1"/>
  <c r="T12" i="1"/>
  <c r="T27" i="1" s="1"/>
  <c r="U101" i="1"/>
  <c r="U104" i="1" s="1"/>
  <c r="U94" i="1"/>
  <c r="U5" i="1"/>
  <c r="U6" i="1" s="1"/>
  <c r="U41" i="1"/>
  <c r="T75" i="1"/>
  <c r="U44" i="1"/>
  <c r="U70" i="1"/>
  <c r="U72" i="1" s="1"/>
  <c r="T61" i="1"/>
  <c r="T67" i="1"/>
  <c r="U76" i="1"/>
  <c r="T94" i="1"/>
  <c r="T100" i="1"/>
  <c r="T104" i="1" s="1"/>
  <c r="U7" i="1"/>
  <c r="U10" i="1" s="1"/>
  <c r="U14" i="1"/>
  <c r="T44" i="1"/>
  <c r="U47" i="1"/>
  <c r="U28" i="1"/>
  <c r="U33" i="1" s="1"/>
  <c r="T43" i="1"/>
  <c r="U68" i="1"/>
  <c r="U21" i="1"/>
  <c r="U43" i="1"/>
  <c r="U59" i="1"/>
  <c r="U73" i="1"/>
  <c r="U74" i="1" s="1"/>
  <c r="T41" i="1"/>
  <c r="T34" i="1"/>
  <c r="T39" i="1" s="1"/>
  <c r="T68" i="1" l="1"/>
  <c r="U11" i="1"/>
  <c r="U75" i="1"/>
  <c r="U27" i="1"/>
  <c r="U40" i="1" s="1"/>
  <c r="U99" i="1"/>
  <c r="U105" i="1" s="1"/>
  <c r="U65" i="1"/>
  <c r="U69" i="1" s="1"/>
  <c r="T40" i="1"/>
  <c r="T65" i="1"/>
  <c r="T69" i="1" s="1"/>
  <c r="AF52" i="1"/>
  <c r="AF53" i="1"/>
  <c r="AF54" i="1"/>
  <c r="AF56" i="1"/>
  <c r="AF57" i="1"/>
  <c r="U108" i="1" l="1"/>
  <c r="AB88" i="1"/>
  <c r="AE88" i="1" l="1"/>
  <c r="AC88" i="1"/>
  <c r="AR100" i="1"/>
  <c r="AR94" i="1"/>
  <c r="AR91" i="1"/>
  <c r="AR86" i="1"/>
  <c r="AR76" i="1"/>
  <c r="AR73" i="1"/>
  <c r="AR70" i="1"/>
  <c r="AR66" i="1"/>
  <c r="AR63" i="1"/>
  <c r="AR61" i="1"/>
  <c r="AR58" i="1"/>
  <c r="AR51" i="1"/>
  <c r="AR44" i="1"/>
  <c r="AR41" i="1"/>
  <c r="AR34" i="1"/>
  <c r="AR30" i="1"/>
  <c r="AR28" i="1"/>
  <c r="AR21" i="1"/>
  <c r="AR13" i="1"/>
  <c r="AR12" i="1"/>
  <c r="AF80" i="1" l="1"/>
  <c r="AF79" i="1"/>
  <c r="AF78" i="1"/>
  <c r="AF77" i="1"/>
  <c r="AF94" i="1"/>
  <c r="AF99" i="1" s="1"/>
  <c r="AF87" i="1"/>
  <c r="AF88" i="1"/>
  <c r="AF89" i="1"/>
  <c r="AF91" i="1"/>
  <c r="AF92" i="1"/>
  <c r="AF13" i="1"/>
  <c r="AF14" i="1"/>
  <c r="AF51" i="1"/>
  <c r="AF60" i="1" s="1"/>
  <c r="AF62" i="1"/>
  <c r="AF63" i="1"/>
  <c r="AF61" i="1"/>
  <c r="AF29" i="1"/>
  <c r="AF30" i="1"/>
  <c r="AF31" i="1"/>
  <c r="AF28" i="1"/>
  <c r="AF93" i="1" l="1"/>
  <c r="AF85" i="1"/>
  <c r="AF65" i="1"/>
  <c r="AF33" i="1"/>
  <c r="AF15" i="1"/>
  <c r="T99" i="1" l="1"/>
  <c r="T105" i="1" s="1"/>
  <c r="T108" i="1" s="1"/>
  <c r="AF41" i="1" l="1"/>
  <c r="AF50" i="1" s="1"/>
  <c r="AF10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Fest Zona 6</author>
    <author>Microsoft Office User</author>
  </authors>
  <commentList>
    <comment ref="K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CUANTOS ESTUDIOS SON Y QUIEN VA A SER EL RESPONSABLE</t>
        </r>
      </text>
    </comment>
    <comment ref="Y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Fest Zona 6: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88" authorId="2" shapeId="0" xr:uid="{6460E555-2539-4085-939B-1D74853934F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342 DEL PRIMER TRIMESTRE MÁS 80 DEL SEGUNDO TRIMESTRE</t>
        </r>
      </text>
    </comment>
  </commentList>
</comments>
</file>

<file path=xl/sharedStrings.xml><?xml version="1.0" encoding="utf-8"?>
<sst xmlns="http://schemas.openxmlformats.org/spreadsheetml/2006/main" count="675" uniqueCount="385">
  <si>
    <t>PILAR</t>
  </si>
  <si>
    <t>LINEA ESTRATEGICA</t>
  </si>
  <si>
    <t>Indicador de Bienestar</t>
  </si>
  <si>
    <t>Línea Base 2019</t>
  </si>
  <si>
    <t xml:space="preserve">PROGRAMA </t>
  </si>
  <si>
    <t>Indicador de Producto</t>
  </si>
  <si>
    <t>Descripción de la Meta Producto 2020-2023</t>
  </si>
  <si>
    <t>Valor Absoluto de la Meta Producto 2020-2023</t>
  </si>
  <si>
    <t xml:space="preserve">PROYECTOS </t>
  </si>
  <si>
    <t>RESILIENTE</t>
  </si>
  <si>
    <t>DESARROLLO URBANO</t>
  </si>
  <si>
    <t>Porcentaje de estudios y diseños de la ingenería de detalle de los canales de la ciudad</t>
  </si>
  <si>
    <t>39% Fuente Valorización Distrital</t>
  </si>
  <si>
    <t>Aumentar en un 9%  hasta alcanzar el 48% de estudios y diseños de la ingenería de detalle de los canales de la ciudad</t>
  </si>
  <si>
    <t>CAÑOS LAGOS, LAGUNAS Y CIENAGAS DE CARTAGENA</t>
  </si>
  <si>
    <t>CAÑOS LAGOS Y LAGUNAS Y CIENAGAS DE CARTAGENA</t>
  </si>
  <si>
    <t>LÍNEA ESTRATÉGICA INSTRUMENTOS DE ORDENAMIENTO TERRITORIAL.</t>
  </si>
  <si>
    <t>Plan de Ordenamiento Territorial  formulado</t>
  </si>
  <si>
    <t>Formular al 100% el Plan de Ordenamiento Territorial</t>
  </si>
  <si>
    <t>Plan de Ordenamiento Territorial  revisado, ajustado, actualizado concertado y presentado.</t>
  </si>
  <si>
    <t>Estudios y documentos elaborados
Fuente Secretaria de Planecion</t>
  </si>
  <si>
    <t xml:space="preserve">Revisar, ajustar, actualizar  concertar y presentar para aprobación ante el Consejo Distrital un Plan de Ordenamiento Territorial POT </t>
  </si>
  <si>
    <t>INSTRUMENTOS DE PLANIFICACION (PEM Y POT)</t>
  </si>
  <si>
    <t>Documento PEMP</t>
  </si>
  <si>
    <t>Revisar y ajustar el  100% del documento PEMP</t>
  </si>
  <si>
    <t>Plan parcial de renovación urbana Macroproyecto Parque Distrital Ciénaga de la Virgen revisado  y adoptado</t>
  </si>
  <si>
    <t>Estudio de las zonas de Riesgos de parte de la Loma del Peye
Fuente Secretaria de Planecion</t>
  </si>
  <si>
    <t>Desarrollar 3 estrategias para  la realización  de 3 planes parciales de renovación urbana del Macroproyecto Parque Distrital Ciénaga de la Virgen</t>
  </si>
  <si>
    <t>Plan de Protección costera que incluye reglamentación de playas, marinas y ley de costas implementada elaborado</t>
  </si>
  <si>
    <t xml:space="preserve">0
Fuente Secretaria de Planeaciòn </t>
  </si>
  <si>
    <t>Elaborar nueva reglamentación de playas  adaptada a estrategia post - covid.</t>
  </si>
  <si>
    <t>Documento PEMP del Centro Historico</t>
  </si>
  <si>
    <t xml:space="preserve">8
Fuente Secretaria de Planeaciòn </t>
  </si>
  <si>
    <t>Realizar 25 sesiones de participación ciudadana en el marco de la construcción colectiva del documento PEMP del centro historico.</t>
  </si>
  <si>
    <t xml:space="preserve">1
Fuente Secretaria de Planeaciòn </t>
  </si>
  <si>
    <t>Revisar y ajustar 1 documento PEMP del Centro Historico.
(Decreto 2358 del 26 de diciembre de 2019)</t>
  </si>
  <si>
    <t>Observatorio creado</t>
  </si>
  <si>
    <t>ND</t>
  </si>
  <si>
    <t>Crear 1 observatorio de datos abiertos de las dinámicas urbanas y sociales de la ciudad</t>
  </si>
  <si>
    <t>PROYECTO NUEVO PARA CREACION DE OBSERVATORIO</t>
  </si>
  <si>
    <t>Programa Administrando Juntos El Control Urbano</t>
  </si>
  <si>
    <t>Plan de Normalización Urbanística ejecutado</t>
  </si>
  <si>
    <t>Ejecutar al  100%  las estrategias del Plan de Normalización Urbanística</t>
  </si>
  <si>
    <t>Programa Ordenación territorial y  Recuperación social, ambiental y Urbana de la Ciénaga de la Virgen.</t>
  </si>
  <si>
    <t>Estudios y diseños ajustados para la construcciòn del tramo este de la via perimetral con calles de servicio y acceso</t>
  </si>
  <si>
    <t>3.4 kilómetros construidos
Fuente Secretaria de Infraestructura 2019</t>
  </si>
  <si>
    <t>Estudios y diseños ajustados para la construcciòn 14.2 km del tramo este de la via perimetral con calles de servicio y acceso</t>
  </si>
  <si>
    <t>ESTUDIOS Y DISEÑOS SEGUNDO TRAMO DE LA VIA PERIMETRAL</t>
  </si>
  <si>
    <t>INCLUYENTE</t>
  </si>
  <si>
    <t>Optimización de los Instrumentos de Planeación Social del Territorio</t>
  </si>
  <si>
    <t>Optimizar al 100% los Instrumentos de Planeación Social del territorio</t>
  </si>
  <si>
    <t xml:space="preserve">Programa: Instrumentos de planificación social del territorio </t>
  </si>
  <si>
    <t xml:space="preserve">Abrir 2 puntos en la zona corregimental de la ciudad de Cartagena de Indias  (Pasacaballos, Bayunca) </t>
  </si>
  <si>
    <t>Nomenclatura Urbana actualizada</t>
  </si>
  <si>
    <t>Nueva Estratificación para el Distrito de Cartagena y sus corregimientos</t>
  </si>
  <si>
    <t>50% del proceso de elaboración.</t>
  </si>
  <si>
    <t>Finalizar las fases restantes de la elaboración de la Nueva Estratificación con apoyo del CPE y adoptarla.</t>
  </si>
  <si>
    <t>Programa: Catastro Multipropósito</t>
  </si>
  <si>
    <t>Área geográfica del territorio con catastro actualizado</t>
  </si>
  <si>
    <t>100% Área geográfica del territorio con catastro actualizado</t>
  </si>
  <si>
    <t>Definir un modelo de gobernanza institucional efectiva y eficiente para la implementación del catastro multipropósito, que incentive el fortalecimiento de capacidades en las entidades ejecutoras de la política</t>
  </si>
  <si>
    <t>PUJANTE</t>
  </si>
  <si>
    <t>No. Áreas de integración constituidas</t>
  </si>
  <si>
    <t>0
Fuente: Secretaría de Planeación Distrital</t>
  </si>
  <si>
    <t xml:space="preserve">Constitución y consolidación del área metropolitana como instancia de integración regional </t>
  </si>
  <si>
    <t>Programa Integración y proyectos entre ciudades</t>
  </si>
  <si>
    <t xml:space="preserve">No. De proyectos diseñados en conjunto con municipios cercanos y/o ciudades de la región </t>
  </si>
  <si>
    <t xml:space="preserve">Diseñar 2 proyectos en conjunto con municipios cercanos y/o ciudades de la región </t>
  </si>
  <si>
    <t>No de proyectos medio ambiental para la competitividad impulsado</t>
  </si>
  <si>
    <t xml:space="preserve">Impulsar 1 proyecto medio ambiental para la competitividad </t>
  </si>
  <si>
    <t>Programa: Normas de promoción del desarrollo urbano y económico</t>
  </si>
  <si>
    <t xml:space="preserve">% de suelo habilitado para desarrollo económico y urbano </t>
  </si>
  <si>
    <t>Habilitar el 35% del suelo para desarrollo económico y urbano</t>
  </si>
  <si>
    <t>TRANSPARENTE</t>
  </si>
  <si>
    <t xml:space="preserve">Porcentaje Sistema Distrital de planeación modernizado </t>
  </si>
  <si>
    <t>Modernización del 100% del Sistema Distrital de Planeación</t>
  </si>
  <si>
    <t xml:space="preserve">Programa: Modernización del Sistema Distrital de Planeación y Descentralización  </t>
  </si>
  <si>
    <t>Numero de planes estratégicos de gestión para el desarrollo Formulados</t>
  </si>
  <si>
    <t>5
Fuente: Secretaría de Planeación Distrital-2019</t>
  </si>
  <si>
    <t>Formular 5 nuevos Planes Estratégicos de Gestión para el Desarrollo comunitarios</t>
  </si>
  <si>
    <t>Procesos de Seguimientos físicos y financieros  a instrumentos de planificación realizados</t>
  </si>
  <si>
    <t xml:space="preserve">Planes de Desarrollo: 2 anual
Planes Indicativos: 1 anual
Planes de Acción: 4 anual
Políticas Publicas: 8 anual
Planes de Desarrollo Local: 6 anuales
Fuente: Secretaría de Planeación Distrital-2019 </t>
  </si>
  <si>
    <t xml:space="preserve">Realizar 21 procesos de seguimiento físico y financiero anual a  las metas del plan de desarrollo, planes indicativos y de Acción,   y  planes de Desarrollo Locales </t>
  </si>
  <si>
    <t>Planes de Desarrollo Locales, de Gestión y Políticas públicas formulados</t>
  </si>
  <si>
    <t>Formulados:</t>
  </si>
  <si>
    <t>Planes de Desarrollo Distrital(8),</t>
  </si>
  <si>
    <t xml:space="preserve"> 3 Planes de Desarrollo Locales,</t>
  </si>
  <si>
    <t>Planes de Desarrollo Locales(12),</t>
  </si>
  <si>
    <t>(7) Políticas Publicas,</t>
  </si>
  <si>
    <t>Políticas Publicas Formuladas(10),</t>
  </si>
  <si>
    <t>(5) Planes de Gestión para el Desarrollo Comunitario</t>
  </si>
  <si>
    <t>Índice de calificación del sistema General de regalías mejorado</t>
  </si>
  <si>
    <t>Estado Critico
Fuente: DNP-2019</t>
  </si>
  <si>
    <t>Mejorar la calificación del Índice del sistema General de Regalías (Sobresaliente)</t>
  </si>
  <si>
    <t>Bancos de programas y proyectos en las localidades asesorados</t>
  </si>
  <si>
    <t>3 Bancos de Programas y Proyectos creados
Fuente: Secretaria de Planeación Distrital</t>
  </si>
  <si>
    <t>Asesorar los 3  Bancos de Programas y Proyectos en las Localidades para formular proyectos con metodología MGA WEB</t>
  </si>
  <si>
    <t xml:space="preserve">Numero de Consejos Locales de Planeación, Consejo Territorial de Planeación, Consejo Consultivo de Ordenamiento Territorial dotados de capacidades y logística </t>
  </si>
  <si>
    <t xml:space="preserve">  Consejos Locales de Planeación (3), Consejo Territorial de Planeación (1), Consejo Consultivo de Ordenamiento Territorial (1).
Fuente: Secretaría de Planeación Distrital - 2019</t>
  </si>
  <si>
    <t>Dotar de capacidades y logística los  Consejos Locales de Planeación, Consejo Territorial de Planeación, Consejo Consultivo de Ordenamiento Territorial para formular proyectos con metodología de formulación MGA WEB</t>
  </si>
  <si>
    <t>DESARROLLO DE CAPACIDADES DEL CONSEJO TERRITORIAL DE PALNEACION Y LOS CONCSEJOS LOCALES</t>
  </si>
  <si>
    <t xml:space="preserve">Programa: Políticas Públicas intersectoriales y con visión Integral de enfoques basados en derechos humanos </t>
  </si>
  <si>
    <t xml:space="preserve">No. de Políticas Públicas formuladas bajo la metodología CONPES </t>
  </si>
  <si>
    <t xml:space="preserve">5 políticas públicas formuladas bajo la metodología CONPES </t>
  </si>
  <si>
    <t>FORMULACION DE POLIITCAS PUBLICAS</t>
  </si>
  <si>
    <t xml:space="preserve">No. de Planes de Acción formulados bajo la metodología CONPES  </t>
  </si>
  <si>
    <t>5 planes de acción de las políticas públicas formuladas bajo la metodología CONPES</t>
  </si>
  <si>
    <t>Código de proyecto BPIM</t>
  </si>
  <si>
    <t>Objetivo del proyecto</t>
  </si>
  <si>
    <t>ACTIVIDADES DE PROYECTO</t>
  </si>
  <si>
    <t>Valor Absoluto de la Actividad del  Proyecto 2020-2023</t>
  </si>
  <si>
    <t xml:space="preserve">DEPENDENCIA RESPONSABLE </t>
  </si>
  <si>
    <t>NOMBRE DEL RESPONSABLE</t>
  </si>
  <si>
    <t>Fuente de Financiación</t>
  </si>
  <si>
    <t>Apropiación Definitiva
(en pesos)</t>
  </si>
  <si>
    <t>Rubro Presupuestal</t>
  </si>
  <si>
    <t>Código Presupuestal</t>
  </si>
  <si>
    <t>D</t>
  </si>
  <si>
    <t>Documento PEMP del Centro Histórico</t>
  </si>
  <si>
    <t>Gustavo Imitola (Laura Arzayuz)</t>
  </si>
  <si>
    <t>Alistamiento para el inicio de actualización cartográfica(estudios de mercado, identificación de fuentes de financiación)</t>
  </si>
  <si>
    <t>Documento tecnico de soporte</t>
  </si>
  <si>
    <t>INSTRUMENTO DE PLANIFICACION (SIG Y NOMENCLATURA)</t>
  </si>
  <si>
    <t>PROYECTO PARA SISBEN METODOLOGIA IV</t>
  </si>
  <si>
    <t>PROYECTO NUEVO DE CATASTRO MULTIPROPOSITO</t>
  </si>
  <si>
    <t xml:space="preserve">ESPACIO PÚBLICO, MOVILIDAD Y TRANSPORTE RESILIENTE. </t>
  </si>
  <si>
    <t>M2 de Espacio público efectivo por habitante</t>
  </si>
  <si>
    <t>8.14 m2 /h</t>
  </si>
  <si>
    <t>Aumentar 0.25m2 de EPe/h para llevarlo a 8.39 M2/hab el espacio público efectivo en el distrito de Cartagena a 2023</t>
  </si>
  <si>
    <t>MOVILIDAD EN CARTAGENA</t>
  </si>
  <si>
    <t>Plan Maestro de Movilidad formulado y adoptado</t>
  </si>
  <si>
    <t>Formular (1) Un Plan Maestro de Movilidad</t>
  </si>
  <si>
    <t>Programa Integral de Canales, caños, lagos, lagunas y ciénagas de Cartagena Formulado</t>
  </si>
  <si>
    <t>Estudios y diseños de detalle para los Eje 1 y Eje 2 del programa</t>
  </si>
  <si>
    <t>PLAN DE ORDENAMIENTO TERRITORIAL Y ESPECIAL DE MANEJO DE PATRIMONIO</t>
  </si>
  <si>
    <t>CONSOLIDACIÓN DE LA ESTRATIFICACIÓN SOCIOECONÓMICA EN EL DISTRITO DE CARTAGENA DE INDIAS</t>
  </si>
  <si>
    <t>Actualizar la clasificación socioeconómica de los inmuebles residenciales que deben recibir servicios públicos en el Distrito de Cartagena</t>
  </si>
  <si>
    <t>Apoyar técnicamente al CPE</t>
  </si>
  <si>
    <t>Participación de la SPD en el desarrollo de las Etapas de la Nueva Estratificación</t>
  </si>
  <si>
    <t>Implementación de la Nueva Estratificación</t>
  </si>
  <si>
    <t>Actualizar la estratificación de los predios urbanos conforme a la metodología vigente</t>
  </si>
  <si>
    <t>PROYECTO NUEVA ESTRATIFICACION</t>
  </si>
  <si>
    <t>Asistencia técnica para la planeación desde el ámbito territorial a la inversión publica y plan de desarrollo del distrito de Cartagena de Indias</t>
  </si>
  <si>
    <t>Actualización del Sistema Distrital de Planeación y Descentralización</t>
  </si>
  <si>
    <t>Formulaicón de nuevos Planes Estratégicos de Gestión para el Desarrollo comunitarios</t>
  </si>
  <si>
    <t>seguimiento al plan operativo anual de inversiones POAI.</t>
  </si>
  <si>
    <t>Hacer seguimiento a la Matriz Plurianual del Plan de Desarrollo Distrital. Diligenciar los reportes del Formato Único Territorial FUT</t>
  </si>
  <si>
    <t xml:space="preserve">Formulación, seguimiento y evaluación de Plan de Desarrollo Distrital 3 Planes de Desarrollo Locales,(7) Políticas Publicas,(5) Planes de Gestión para el Desarrollo Comunitario - Formulación, seguimiento y evaluación al plan de desarrollo distrital. apoyo a la formulación del sistema de seguimiento y evaluación del plan de desarrollo.
  . </t>
  </si>
  <si>
    <t>Coadyuvar en la elaboración y seguimiento de los informes requeridos por las entidades y organismos de control</t>
  </si>
  <si>
    <t xml:space="preserve">ASISTENCIA TECNICA PARA MEJORAMIENTO DEL BANCO DE PROGRAMAS Y PROYECTOS CENTRAL Y DE LOS BANCOS DE PROGRAMAS Y PROYECTOS LOCALES DEL DISTRITO  DE CARTAGENA DE INDIAS. </t>
  </si>
  <si>
    <t>Fortalecer los procesos del Banco de Proyectos Central y de los 3 Bancos de Proyectos Locales del Distrito de Cartagena de Indias-.</t>
  </si>
  <si>
    <t xml:space="preserve">Asesorar los 3 Bancos de Programas y Proyectos en las Localidades para formular proyectos con metodología MGA WEB. </t>
  </si>
  <si>
    <t>Dotar de capacidades y Logistica al Consejo Territorial de Planeación para formular proyectos con Metodologia de formulación MGAWEB</t>
  </si>
  <si>
    <t xml:space="preserve">Prestar asesoría y capacitación en MGAWEB Y SUIFP a funcionarios de dependencias,  de los bancos locales y comunidad </t>
  </si>
  <si>
    <t>Llevar seguimiento estricto y velar por el cumplimiento efectivo a los procesos de cargue de información de avances de proyectos y cierres de proyectos del Sistema General de  Regalías que se encuentran a cargo de cada dependencia.</t>
  </si>
  <si>
    <t>Proyectos en optimas condiciones Viabilizados y Registrados</t>
  </si>
  <si>
    <t>Manual de Procesos y Procedimientos del Banco de Programas y proyectos de Inversión Pública del Distrito de Cartagena de Indias actualizado</t>
  </si>
  <si>
    <t>Llevar procesos de seguimiento a la ejecución de proyectos con recursos del distrito a través de herramienta de informatica:  META 2020 30%</t>
  </si>
  <si>
    <r>
      <t>Formular:</t>
    </r>
    <r>
      <rPr>
        <sz val="12"/>
        <rFont val="Calibri"/>
        <family val="2"/>
        <scheme val="minor"/>
      </rPr>
      <t xml:space="preserve"> (1) </t>
    </r>
    <r>
      <rPr>
        <sz val="11"/>
        <rFont val="Arial"/>
        <family val="2"/>
      </rPr>
      <t>Plan de Desarrollo Distrital</t>
    </r>
  </si>
  <si>
    <t>DIC</t>
  </si>
  <si>
    <t>REVISAR DOCUMENTACION EXIXTENTE Y EVALUARLA.</t>
  </si>
  <si>
    <t>RICARDO DAZA</t>
  </si>
  <si>
    <t xml:space="preserve">revision y evalucion  de los documentos del Plan parcial de bazurto  y acto adiminstrativo de reactivacion del plan parcial                                           </t>
  </si>
  <si>
    <t>Diciembre</t>
  </si>
  <si>
    <t>Desarrollo urbano</t>
  </si>
  <si>
    <t>Ricardo Daza</t>
  </si>
  <si>
    <t>diciembre</t>
  </si>
  <si>
    <t>Estudios de amenazas y riesgos</t>
  </si>
  <si>
    <t>Facilitar la identificación de los potenciales beneficiarios para programas sociales de manera eficaz, objetiva y equitativa, para mejorar el impacto del gasto social, eliminar duplicidades, y facilitando el control distrital de entidades ejecutoras de programas sociales que asignan subsidios a través del Sisbén</t>
  </si>
  <si>
    <t>Diagnóstico,1. Revisar la Documentacion existente y Evaluarla 2.  Presentar Documento base Participación</t>
  </si>
  <si>
    <t xml:space="preserve">Sesiones participación, sistematización de experiencias  Realizar el proceso de participación para las fases de diagnostico y formulación del PEMP.  del PEMP del Centro Histórico </t>
  </si>
  <si>
    <t>7.  Ajustar los contenidos de acuerdo con los resultados del proceso de participación</t>
  </si>
  <si>
    <t>Actualizar y adoptar los instrumentos de Planificación del territorio de Superior jerarquía, el Plan Especial de Manejo y Protección del Centro Histórico PEMP y el Plan de Ordenamiento Territorial</t>
  </si>
  <si>
    <t>Desarrollo Urbano</t>
  </si>
  <si>
    <t>DeSARROLLO URBANO</t>
  </si>
  <si>
    <t>Recepción y atencion en linea de los usuarios sisben , para realizar sus procesos.</t>
  </si>
  <si>
    <t>criticar y georeferenciar las encuestas realizadas por los encuestadores.</t>
  </si>
  <si>
    <t>mantener al dia el archivo del sisben</t>
  </si>
  <si>
    <t xml:space="preserve">digitar los procesos de (Encuestas nuevas, Inclusión de personas, actualización y modificación de documentos, retiros de fichas y de personas) radicadas en los 6 puntos de atención del Sisben, en la ciudad de Cartagena de indias, y a la vez resolver las duplicidades e inconsistencias en las bases de datos, depurar los fallecidos y duplicados por multiafiliacion departamental y nacional, para posteriormente ese reporte se vaya mensual en envíos de base a validar. </t>
  </si>
  <si>
    <t>Responder las peticiones quejas y reclamos presentados por los usuarios del sisben, al igual que las tutelas y derechos de petición en lo que respecta a inconformidad de puntajes, encuestas , inclusiones , modificaciones y retiros de fichas</t>
  </si>
  <si>
    <t xml:space="preserve">Realizar encuesta por demanda </t>
  </si>
  <si>
    <t>Dicembre</t>
  </si>
  <si>
    <t xml:space="preserve">ICLD
</t>
  </si>
  <si>
    <t>02-001-06-10-02-06-02-01</t>
  </si>
  <si>
    <t>PROYECTO NUEVO DE CATASTRO MULTIPROPÓSITO</t>
  </si>
  <si>
    <t>ICLD</t>
  </si>
  <si>
    <t>INVERSION PUBLICA</t>
  </si>
  <si>
    <t>Coordinación de Estratificacion</t>
  </si>
  <si>
    <t>BERTHA PEREZ</t>
  </si>
  <si>
    <t>OCTUBRE</t>
  </si>
  <si>
    <t>NOVIEMBRE</t>
  </si>
  <si>
    <t>DICIEMBRE</t>
  </si>
  <si>
    <t>02-006-06-50-02-06-01-01</t>
  </si>
  <si>
    <t>02-001-06-50-02-06-01-01</t>
  </si>
  <si>
    <t xml:space="preserve">
Aportes Estratificacion Distrital</t>
  </si>
  <si>
    <t>Encuestas  y consgtruccion de la base de datos nuevo sisben 4</t>
  </si>
  <si>
    <t>Coordinar la instalacion y funcionamiento del SISBENAPP</t>
  </si>
  <si>
    <t>Gestionar la infraestructura donde funcionaran los 2 puntos  de atencion en  los corregimiento</t>
  </si>
  <si>
    <t>di9cembre</t>
  </si>
  <si>
    <t>PROYECTO PARA SISBEN METODOLOGÍA IV</t>
  </si>
  <si>
    <t>02-001-06-50-02-06-01-03</t>
  </si>
  <si>
    <t>02-070-06-50-02-06-01-06</t>
  </si>
  <si>
    <t>PROYECTO DE INSTRUMENTOS DE PLANIFICACIÓN (S.I.G. - NOMENCLATURA)</t>
  </si>
  <si>
    <t>02-001-06-50-02-06-01-02</t>
  </si>
  <si>
    <t>02-070-06-50-02-06-01-05</t>
  </si>
  <si>
    <t>SGP-PROPOSITO GENERAL</t>
  </si>
  <si>
    <t xml:space="preserve">SGP-PROPOSITO GENERAL
</t>
  </si>
  <si>
    <t>SISTEMA DE  INFORMACION GEOGRAFICA</t>
  </si>
  <si>
    <t>Construir 1 Documento Metodologico</t>
  </si>
  <si>
    <t>Asesorías y estudios para el fortalecimiento del SIG</t>
  </si>
  <si>
    <t>Servicios de información para la gestión administrativa</t>
  </si>
  <si>
    <t>Procesar datos estadísticos provenientes de las diferentes dependencias del distrito y actualizarlas con el sistema de información geográfica.</t>
  </si>
  <si>
    <t xml:space="preserve"> Recopilar y procesar información estadística relacionada con los proyectos propios de la secretaria de planeación distrital para su implementación en el sistema de información geográfica.</t>
  </si>
  <si>
    <t>Levantamientos topográficos y toma de fotografías en campo, en acompañamiento a las visitas que realizan los profesionales en aspectos urbanísticos, ambientales y de drenajes.</t>
  </si>
  <si>
    <t>Estructurar los planos para recibir y procesar la información necesaria en dichos proyectos y todo lo relacionado con el sistema de información geográfica</t>
  </si>
  <si>
    <t>Actualización y Optimización de los Instrumentos de Planeación social del Territorio Sistema Integrado de Georeferenciación y
Nomenclatura</t>
  </si>
  <si>
    <t>NP</t>
  </si>
  <si>
    <t>PROYECTO NUEVO PARA CAÑOS, LAGOS, LAGUNAS Y CIENAGAS DE CARTAGENA</t>
  </si>
  <si>
    <t>02-001-06-50-01-07-01-01</t>
  </si>
  <si>
    <t>PROYECTO REGLAMENTACION URBANISTICA</t>
  </si>
  <si>
    <t>02-001-06-10-01-07-01-01</t>
  </si>
  <si>
    <t>REGLAMENTACION URBANISTICA</t>
  </si>
  <si>
    <t>02-001-06-10-03-04-02-01</t>
  </si>
  <si>
    <t>Maria Bernarda Perez</t>
  </si>
  <si>
    <t>02-070-06-50-04-07-02-03</t>
  </si>
  <si>
    <t>SGP</t>
  </si>
  <si>
    <t>ASISTENCIA TECNICA PARA MEJORA DE BANCO DE PROGRAMA Y PROYECTOS LOCALES</t>
  </si>
  <si>
    <t>02-001-06-50-04-07-02-01</t>
  </si>
  <si>
    <t>DESARROLLO DE CAPACIDADES PARA EL CONSEJO TERRITORIAL DE PLANEACIÓN</t>
  </si>
  <si>
    <t>02-001-06-50-04-07-02-02</t>
  </si>
  <si>
    <t>ICL</t>
  </si>
  <si>
    <t>Apoyo logístico para realización de funciones misionales de los tres (3) Consejos Locales de Planeación, un (1)  Consejo Territorial de Planeación.</t>
  </si>
  <si>
    <t>Formación para consejeros mediante diplomado con entidad acreditada</t>
  </si>
  <si>
    <t>Participación en intercambios de xperiencias nacionales y regionales</t>
  </si>
  <si>
    <t>Asesoria profesional para consejeros</t>
  </si>
  <si>
    <t>Diseño e implementación de una estrategia de comunicación para el consejo</t>
  </si>
  <si>
    <t>PROYECTO INSTRUMENTOS DE PLANIFICACIÓN (POT-PEMP)</t>
  </si>
  <si>
    <t>02-001-06-10-01-07-01-02</t>
  </si>
  <si>
    <t>02-070-06-10-01-07-01-01</t>
  </si>
  <si>
    <t>: Implementar la metodología CONPES para la formulación de
Políticas Públicas en el Distrito de Cartagena de Indias</t>
  </si>
  <si>
    <t>: Construir seis Guías de Políticas Públicas para el Distrito de Cartagena de Indias</t>
  </si>
  <si>
    <t xml:space="preserve"> Construir un documento de Caja de
Herramientas para las Políticas Públicas del
Distrito de Cartagena de Indias.</t>
  </si>
  <si>
    <t>Asesorar la formulación e
implementación de Cinco Políticas Públicas bajo la
metodología CONPES</t>
  </si>
  <si>
    <t>Asesorar la formulación de Diez
Planes de Acción de Políticas Públicas del Distrito
de Cartagena de Indias</t>
  </si>
  <si>
    <t>JULIO</t>
  </si>
  <si>
    <t>Documento sigma titulado “Informe Final – V1: Formulación del Plan de Movilidad del Distrito de Cartagena” del 28 de JULIO de 2011”.</t>
  </si>
  <si>
    <t xml:space="preserve">POLÍTICAS PÚBLICAS INTERSECTORIALES Y CON VISIÓN INTEGRAL DE ENFOQUES BASADOS EN DERECHOS HUMANOS </t>
  </si>
  <si>
    <t>02-001-06-20-04-07-03-01</t>
  </si>
  <si>
    <t>PARTICIPACION Y DESCENTRALIZACION</t>
  </si>
  <si>
    <t xml:space="preserve">PLANEACIÓN E INTEGRACIÓN CONTINGENTE DEL TERRITORIO.  
</t>
  </si>
  <si>
    <t xml:space="preserve">PLANEACIÓN SOCIAL DEL TERRITORIO. </t>
  </si>
  <si>
    <t>FORTALECIMIENTO AL CONTROL UBANO- RESPUESTAS PENDIENTE</t>
  </si>
  <si>
    <t>02-070-06-20-01-07-02-01</t>
  </si>
  <si>
    <t>ANDRES PORTO</t>
  </si>
  <si>
    <t>CONTROL URBANO</t>
  </si>
  <si>
    <t>Sistema de Identificación de Potenciales Beneficiarios de Programas Sociales - SISBEN IV - Censo</t>
  </si>
  <si>
    <t>Finalizar Censo de la Metodología IV Sisben al  100%</t>
  </si>
  <si>
    <t>Sistema de Identificación de Potenciales Beneficiarios de Programas Sociales - SISBEN IV - Metodología</t>
  </si>
  <si>
    <t>Implementar Metodología General de Articulación  IV Sisben 100%</t>
  </si>
  <si>
    <r>
      <t>Sistema de Identificación de Potenciales Beneficiarios de Programas Sociales - SISBEN IV Fase de Demanda</t>
    </r>
    <r>
      <rPr>
        <sz val="10"/>
        <rFont val="Arial"/>
        <family val="2"/>
      </rPr>
      <t xml:space="preserve"> - </t>
    </r>
    <r>
      <rPr>
        <sz val="12"/>
        <rFont val="Arial"/>
        <family val="2"/>
      </rPr>
      <t>Conectividad</t>
    </r>
  </si>
  <si>
    <t>Habilitar una red independiente para la dependencia SISBEN (Internet), para el correcto funcionamiento y conectividad  del SISBENAPP, en los diferentes  puntos de atención al usuario SISBEN.</t>
  </si>
  <si>
    <t>Sistema de Identificación de Potenciales Beneficiarios de Programas Sociales - SISBEN IV Fase de Demanda – Atención al Usuario</t>
  </si>
  <si>
    <t>Mapa Interactivo de Asuntos del Suelo MIDAS Actualizado</t>
  </si>
  <si>
    <t>Mantener actualizado el Mapa Interactivo de Asuntos del Suelo MIDAS</t>
  </si>
  <si>
    <t>Mantener la Nomenclatura Urbana Estructurada y Actualizada</t>
  </si>
  <si>
    <t>2020-13001-0111</t>
  </si>
  <si>
    <t>2020-13001-0174</t>
  </si>
  <si>
    <t>2020-13001-0190</t>
  </si>
  <si>
    <t>2020-13001-0204</t>
  </si>
  <si>
    <t>2020-13001-0223</t>
  </si>
  <si>
    <t>2020-13001-0238</t>
  </si>
  <si>
    <t>FORTALECER EL EJERCICIO DEL CONTROL URBANO EN EL DISTRITO DE CARTAGENA DE INDIAS</t>
  </si>
  <si>
    <t>En  proceso de formulacion</t>
  </si>
  <si>
    <t>En proceso de formulacion</t>
  </si>
  <si>
    <t>PROYECTO REGLAMENTACION URBANISTICA (PLANES PARCIALES, PLAYAS, )</t>
  </si>
  <si>
    <t>Formular y Adoptar los Planeas Parciales R7-Fredonia y Nuevo Paraíso, M1 Plan de Mejoramiento Integral de la Boquilla y S1 Malecón de la ciénaga - Equipamientos en suelos creados por la Vía Perimetral</t>
  </si>
  <si>
    <t xml:space="preserve">Suscribir un Convenio Interadministrativo con el fin de integrar las capacidades y experticia técnica y aunar esfuerzos para el desarrollo de los estudios detallados de amenaza y riesgo por ascenso del nivel del mar e inundación de los sectores de la Boquilla, Fredonia y Nuevo Paraíso. </t>
  </si>
  <si>
    <t xml:space="preserve">Adoptar un decreto por medio del cual se autorice la reapertura progresiva de playas en el distrito de Cartagena de Indias </t>
  </si>
  <si>
    <t>PROYECTO  NORMALIZACIÓN URBANISTICA DE CARTAGENA DE INDIAS</t>
  </si>
  <si>
    <t>DEFENSONSORES URBANOS BARRIALES</t>
  </si>
  <si>
    <t>CUERPO  ELITE</t>
  </si>
  <si>
    <t>PUNTO UNUFICADO DE INFORMACION</t>
  </si>
  <si>
    <t>CODIGO DE CONSTRUCCION</t>
  </si>
  <si>
    <t>PROCESOS ADMINISTRATIVOS SANCIONATORIOS</t>
  </si>
  <si>
    <t>6 DOCUMENTOS REVISADOS Y AJUSTADOS</t>
  </si>
  <si>
    <t>PROGRAMACIÓN META A 2021</t>
  </si>
  <si>
    <t>Crear un Observatorio para producir y divulgar conocimiento basado en el análisis de información de las dinámicas urbanas, socio
económicas y culturales de la ciudad de Cartagena para aportar a la toma de decisiones.</t>
  </si>
  <si>
    <t>Implementación y seguimiento de canales de divulgación</t>
  </si>
  <si>
    <t>Actividades de divulgación (eventos, material impreso)</t>
  </si>
  <si>
    <t>Desarrollo de investigaciones propias y acompañamiento técnico a otros
proyectos</t>
  </si>
  <si>
    <t>Gestión de investigación conjunta (convenios)</t>
  </si>
  <si>
    <t>Conformación base de datos</t>
  </si>
  <si>
    <t>Recopilación, recopilación, sistematización, valoración, análisis y
divulgación de información</t>
  </si>
  <si>
    <t>LAURA ARZAYUZ</t>
  </si>
  <si>
    <t>CLDI</t>
  </si>
  <si>
    <t>ENERO</t>
  </si>
  <si>
    <t>np</t>
  </si>
  <si>
    <t>REPORTE META PRODUCTO A 31 DE MARZO 2021</t>
  </si>
  <si>
    <t>REPORTE EJECUCION PRESUPUESTAL</t>
  </si>
  <si>
    <t>Camilo Torres</t>
  </si>
  <si>
    <t>SISBEN</t>
  </si>
  <si>
    <t>Franklin Amador</t>
  </si>
  <si>
    <t>Carmen Charrys</t>
  </si>
  <si>
    <t>Plan de Desarrollo</t>
  </si>
  <si>
    <t xml:space="preserve"> Banco de Proyectos</t>
  </si>
  <si>
    <t xml:space="preserve"> Plan de Desarrollo</t>
  </si>
  <si>
    <t>AVANCE META PRODUCTO EN EL CUATRIENENIO</t>
  </si>
  <si>
    <t>La Nueva Estratificación de Cartagena se desarrolla a través del contrato SPD-002-2018, el cual se encuentra suspendido desde el 26-12-2019, No se ha logrado dar respuesta al 100% de los requerimeintos de los usuarios por no disponer aún del vehículo que permite al personal de estratificación hacer las visitas de inspección en primera y segunda instancia,</t>
  </si>
  <si>
    <t>Los reportes se realizan trimestrales el actual se cargara en abril 30 luego los resultados de este indice se verán reflejados el prox corte de seguimiento de junio 30</t>
  </si>
  <si>
    <t>Se han realizado resuniones  y capacitaciones con las tres localidades</t>
  </si>
  <si>
    <t>EL 20 DE ENERO SE REALIZÓ 1 MEDICION Y CARGUE DE LA INFORMACION</t>
  </si>
  <si>
    <t>En ñla actualidad tenemos 294 proyectos viabilizados</t>
  </si>
  <si>
    <t>proceso de contratacion de operador para acompañamiento y asistencia tecnica (convenio convoc)</t>
  </si>
  <si>
    <t>CREACION OBSERV DINAMICA URBANA</t>
  </si>
  <si>
    <t>02-001-06-20-01-07-02-01</t>
  </si>
  <si>
    <t>ESTUDIOS Y DISEÑO VIA PERIMETRAL</t>
  </si>
  <si>
    <t>02-001-06-20-01-07-03-02</t>
  </si>
  <si>
    <t>PROYECTO SISBEN METODOLOGIA 4</t>
  </si>
  <si>
    <t>Integracion entre ciudades</t>
  </si>
  <si>
    <t>02-001-06-10-03-04-01-01</t>
  </si>
  <si>
    <t>PLANEACION DESDE EL AMBITO TERRITORIAL</t>
  </si>
  <si>
    <t>02-070-06-50-04-07-02-02</t>
  </si>
  <si>
    <t>% DE Ejecucion</t>
  </si>
  <si>
    <t>REPORTE META PRODUCTO A 31 DE JUNIO 2021</t>
  </si>
  <si>
    <t>REPORTE ACTIVIDADES PROYECTO A 30 DE JUNIO 2021</t>
  </si>
  <si>
    <t>1.-En la actividad Punto unificado, dado que no hay atención presencial, fue creado el micrositio, el cual a partir del 1 de julio está siendo atendido. 2.- Al código de Construcción se le terminó en el mes de julio el estudio de viabilidad, será presentado para su reformulación.</t>
  </si>
  <si>
    <t>La Informacion Catastral proveniente del IGAC, ya se encuentra en un 95%, Estructurada y Organizada dentro del SIG, y está disponible en nuestro Sistema</t>
  </si>
  <si>
    <t>Los datos de encuestas  hacen referencias a las realizadas durante fase de barrido 2020 y fase de demanda y mejoramiento de cobertura 2021</t>
  </si>
  <si>
    <t>En lo relacionado con la actividad de mantener al dia el archivo se han realizado organizacion y foliado los documentos en cajas generales en espera de las herramientas necesarias para cumplir con las normas archivisticas establecidas ,  en lo relacionado con la instalacion y funcionamiento del SISBENAPP ya contamos con la red independiente y  nos encontramos a la espera de los equipos tecnologicos faltantes para cumplir en gran parte con esta actividad propuesta.</t>
  </si>
  <si>
    <t>con relacion a la apertura de dos puntos de atencion, en estas comunidades se han realizado jornadas de identificacion de potenciales beneficiarios a traves de las encuestas aplicadas en los hogares en fase demanda y mejormamiento de cobertura, al igual que encuentros zonales con los representantes de JAC  ,cabildos indigenas , concejos comunitarios y mesas de victimas  de las tres localidades para la implementacios de estrategias para fortalecer la atencion integral.</t>
  </si>
  <si>
    <t>pagina web dominio propio</t>
  </si>
  <si>
    <t>02-001-06-20-01-03-05-02</t>
  </si>
  <si>
    <t>SG P Proposito General</t>
  </si>
  <si>
    <t>02-070-06-95-01-03-05-02</t>
  </si>
  <si>
    <t>02-138-06-93-01-03-05-02</t>
  </si>
  <si>
    <t>Dividendo Sociedad Portuaria</t>
  </si>
  <si>
    <t>Observacion</t>
  </si>
  <si>
    <t>LINK</t>
  </si>
  <si>
    <t>https://drive.google.com/drive/u/1/folders/1XskF5U1L0RcED8Ni58aZnDlBLXeIXtqi</t>
  </si>
  <si>
    <t>https://drive.google.com/drive/folders/1-QxwaosHEdnVTLuepIg8KAcSyfig9oOm?usp=sharing</t>
  </si>
  <si>
    <t>https://drive.google.com/drive/folders/1D65bDmwM-D8dftLuQvXZfFOplt3KNpE2</t>
  </si>
  <si>
    <t>https://drive.google.com/drive/folders/1F-QshUhzvtatbKmJguK5E6XW3Ip_rHVi?usp=sharing</t>
  </si>
  <si>
    <t>https://drive.google.com/drive/folders/1zhtgFX71GwyZD6Sndppn68QX31k0_O2R?usp=sharing</t>
  </si>
  <si>
    <t>Tuipo de Indicador</t>
  </si>
  <si>
    <t>Unidad de medida</t>
  </si>
  <si>
    <t>Meta Bienestar 2020-2023</t>
  </si>
  <si>
    <t>REPORTE META PRODUCTO A 31 DE SEPTIEMBRE 2021</t>
  </si>
  <si>
    <t>META PRODCUTO ACUMULADA 2020</t>
  </si>
  <si>
    <t>AVANCE META PRODUCTO 2021</t>
  </si>
  <si>
    <t>REPORTE ACTIVIDADES PROYECTO A 30 DE MARZO 2021</t>
  </si>
  <si>
    <t>REPORTE ACTIVIDADES PROYECTO A 30 DE SEPTIEMBRE 2021</t>
  </si>
  <si>
    <t>AVANCE DEL PROYECTO</t>
  </si>
  <si>
    <t>ACTIVIDADES ACUMULADAS</t>
  </si>
  <si>
    <t>CRONOGRAMA PROGRAMADO (DIAS)</t>
  </si>
  <si>
    <t>CRONOGRAMA EJECUTADO (DIAS)</t>
  </si>
  <si>
    <t>BENEFICIARIO PROGRAMADOS</t>
  </si>
  <si>
    <t>BENEFICIARIOS CUBIERTOS</t>
  </si>
  <si>
    <t>AVANCE PROGRAMA MOVILIDAD EN CARTAGENA</t>
  </si>
  <si>
    <t xml:space="preserve">AVANCE LINEA ESTRAESTRATEGICA ESPACIO PÚBLICO, MOVILIDAD Y TRANSPORTE RESILIENTE. </t>
  </si>
  <si>
    <t>AVANCE PROGRAMA CAÑOS LAGOS, LAGUNAS Y CIENAGAS DE CARTAGENA</t>
  </si>
  <si>
    <t>AVANCE LINEA ESTRATEGICA DESARROLLO URBANO</t>
  </si>
  <si>
    <t>AVANCE PROGRAMA PLAN DE ORDENAMIENTO TERRITORIAL Y ESPECIAL DE MANEJO DE PATRIMONIO</t>
  </si>
  <si>
    <t>AVANCE PROGRAMA Ordenación territorial y  Recuperación social, ambiental y Urbana de la Ciénaga de la Virgen.</t>
  </si>
  <si>
    <t>AVANCE PROGRAMA Administrando Juntos El Control Urbano</t>
  </si>
  <si>
    <t>AVANCE LINEA ESTRATEGICA INSTRUMENTOS DE ORDENAMIENTO TERRITORIAL.</t>
  </si>
  <si>
    <t>AVANCE PROGRAMA Instrumentos de planificación social del territorio .</t>
  </si>
  <si>
    <t>AVANCE PROGRAMA  Catastro Multipropósito</t>
  </si>
  <si>
    <t>AVANCE LINEA ESTRATEGICA PLANEACIÓN SOCIAL DEL TERRITORIO.</t>
  </si>
  <si>
    <t>AVANCE PROGRAMA   Integración y proyectos entre ciudades</t>
  </si>
  <si>
    <t>AVANCE PROGRAMA   Normas de promoción del desarrollo urbano y económico</t>
  </si>
  <si>
    <t xml:space="preserve">AVANCE LINEA ESTRATEGICA PLANEACIÓN E INTEGRACIÓN CONTINGENTE DEL TERRITORIO.  </t>
  </si>
  <si>
    <t xml:space="preserve">AVANCE PROGRAMA   Modernización del Sistema Distrital de Planeación y Descentralización  </t>
  </si>
  <si>
    <t xml:space="preserve">AVANCE PROGRAMA   Políticas Públicas intersectoriales y con visión Integral de enfoques basados en derechos humanos </t>
  </si>
  <si>
    <t xml:space="preserve">AVANCE LINEA ESTRATEGICA PARTICIPACION Y DESCENTRALIZACION.  </t>
  </si>
  <si>
    <t>PROMEDIO DE PROGRAMA POR PROYECTOS</t>
  </si>
  <si>
    <t>AVANCE PROGRAMAS SEGUN PROYECTOS</t>
  </si>
  <si>
    <t>META PRODCUTO ACUMULADA 2021</t>
  </si>
  <si>
    <t>AVANCE PLAN DE DESARROLLO DEPENDENCIA CORTE NOVIEMBRE 2021</t>
  </si>
  <si>
    <t>AVANCE PLAN DE ACCIÓN DEPENDENCIAPLANEACION CORTE NOVIEMBRE 2021</t>
  </si>
  <si>
    <t>REPORTE META PRODUCTO A 31 DE DICIEMBRE 2021</t>
  </si>
  <si>
    <t>REPORTE ACTIVIDADES PROYECTO A 30 DE DICIEMBRE 2021</t>
  </si>
  <si>
    <t>PLANEACION DESDE EL AMBITO TERRITORIAL ( INVERSION PUBLICAY PLAN DE DESARROLLO) - Ingresos Corrientes de LIbre Destinacion</t>
  </si>
  <si>
    <t>OBSERVACIONES
RELACION DE EVIDENCIAS
A DIC 2021</t>
  </si>
  <si>
    <t>https://alcart.sharepoint.com/:f:/s/Metropilizacin/EqQjEjNTlmtKs4KSXHHTiiYB2NFF8XBZ68YUH_bsvGkKGg</t>
  </si>
  <si>
    <t>https://alcart.sharepoint.com/:f:/s/HabilitacindeSuelo/EqyUw54acPVIu2ouDwxavAoBdrgGq8ViiCS3lSzltkDrpw            https://alcart-my.sharepoint.com/personal/sybaccap_cartagena_gov_co/_layouts/15/onedrive.aspx?id=%2Fpersonal%2Fsybaccap%5Fcartagena%5Fgov%5Fco%2FDocuments%2FAttachments%2FCAPACITACIONES%2Epdf&amp;parent=%2Fpersonal%2Fsybaccap%5Fcartagena%5Fgov%5Fco%2FDocuments%2FAttachments           https://alcart-my.sharepoint.com/personal/sybaccap_cartagena_gov_co/_layouts/15/onedrive.aspx?id=%2Fpersonal%2Fsybaccap%5Fcartagena%5Fgov%5Fco%2FDocuments%2FAttachments%2FSOPORTE%204%20INFORMES%20TECNICOS%2D%20VISITAS%2Epdf&amp;parent=%2Fpersonal%2Fsybaccap%5Fcartagena%5Fgov%5Fco%2FDocuments%2FAttach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</si>
</sst>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40A]\ * #,##0.0_-;\-[$$-240A]\ * #,##0.0_-;_-[$$-240A]\ * &quot;-&quot;??_-;_-@_-"/>
    <numFmt numFmtId="167" formatCode="[$$-240A]\ #,##0"/>
    <numFmt numFmtId="168" formatCode="[$$-340A]#,##0"/>
    <numFmt numFmtId="169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trike/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26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u/>
      <sz val="11"/>
      <color theme="1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325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" xfId="0" applyFont="1" applyFill="1" applyBorder="1"/>
    <xf numFmtId="0" fontId="6" fillId="0" borderId="1" xfId="0" applyFont="1" applyFill="1" applyBorder="1" applyAlignment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4" fillId="0" borderId="0" xfId="0" applyFont="1" applyFill="1"/>
    <xf numFmtId="166" fontId="6" fillId="0" borderId="1" xfId="1" applyNumberFormat="1" applyFont="1" applyFill="1" applyBorder="1" applyAlignment="1">
      <alignment vertical="center" wrapText="1"/>
    </xf>
    <xf numFmtId="166" fontId="6" fillId="0" borderId="1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wrapText="1"/>
    </xf>
    <xf numFmtId="9" fontId="6" fillId="0" borderId="0" xfId="2" applyFont="1" applyFill="1"/>
    <xf numFmtId="16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/>
    </xf>
    <xf numFmtId="9" fontId="6" fillId="0" borderId="1" xfId="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vertical="center"/>
    </xf>
    <xf numFmtId="166" fontId="6" fillId="0" borderId="5" xfId="1" applyNumberFormat="1" applyFont="1" applyFill="1" applyBorder="1" applyAlignment="1">
      <alignment vertical="center"/>
    </xf>
    <xf numFmtId="166" fontId="6" fillId="0" borderId="4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wrapText="1"/>
    </xf>
    <xf numFmtId="9" fontId="5" fillId="0" borderId="0" xfId="2" applyFont="1" applyFill="1" applyBorder="1" applyAlignment="1">
      <alignment wrapText="1"/>
    </xf>
    <xf numFmtId="9" fontId="6" fillId="0" borderId="3" xfId="2" applyFont="1" applyFill="1" applyBorder="1" applyAlignment="1">
      <alignment horizontal="center" vertical="center" wrapText="1"/>
    </xf>
    <xf numFmtId="9" fontId="6" fillId="0" borderId="6" xfId="2" applyFont="1" applyFill="1" applyBorder="1" applyAlignment="1">
      <alignment vertical="center"/>
    </xf>
    <xf numFmtId="9" fontId="6" fillId="0" borderId="3" xfId="2" applyFont="1" applyFill="1" applyBorder="1" applyAlignment="1">
      <alignment horizontal="center" vertical="center"/>
    </xf>
    <xf numFmtId="9" fontId="7" fillId="0" borderId="3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12" fillId="0" borderId="3" xfId="2" applyFont="1" applyFill="1" applyBorder="1" applyAlignment="1">
      <alignment horizontal="center" vertical="center" wrapText="1"/>
    </xf>
    <xf numFmtId="9" fontId="6" fillId="0" borderId="3" xfId="2" applyFont="1" applyFill="1" applyBorder="1" applyAlignment="1">
      <alignment horizontal="center" vertical="center"/>
    </xf>
    <xf numFmtId="166" fontId="6" fillId="0" borderId="2" xfId="1" applyNumberFormat="1" applyFont="1" applyFill="1" applyBorder="1" applyAlignment="1">
      <alignment horizontal="center" vertical="center"/>
    </xf>
    <xf numFmtId="166" fontId="6" fillId="0" borderId="4" xfId="1" applyNumberFormat="1" applyFont="1" applyFill="1" applyBorder="1" applyAlignment="1">
      <alignment horizontal="center" vertical="center"/>
    </xf>
    <xf numFmtId="166" fontId="15" fillId="0" borderId="2" xfId="1" applyNumberFormat="1" applyFont="1" applyFill="1" applyBorder="1" applyAlignment="1">
      <alignment horizontal="center" vertical="center" wrapText="1"/>
    </xf>
    <xf numFmtId="166" fontId="15" fillId="0" borderId="5" xfId="1" applyNumberFormat="1" applyFont="1" applyFill="1" applyBorder="1" applyAlignment="1">
      <alignment horizontal="center" vertical="center" wrapText="1"/>
    </xf>
    <xf numFmtId="9" fontId="15" fillId="0" borderId="9" xfId="2" applyFont="1" applyFill="1" applyBorder="1" applyAlignment="1">
      <alignment horizontal="center" vertical="center" wrapText="1"/>
    </xf>
    <xf numFmtId="167" fontId="7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 wrapText="1"/>
    </xf>
    <xf numFmtId="9" fontId="6" fillId="0" borderId="6" xfId="2" applyFont="1" applyFill="1" applyBorder="1" applyAlignment="1">
      <alignment horizontal="center" vertical="center"/>
    </xf>
    <xf numFmtId="9" fontId="6" fillId="0" borderId="12" xfId="2" applyFont="1" applyFill="1" applyBorder="1" applyAlignment="1">
      <alignment horizontal="center" vertical="center"/>
    </xf>
    <xf numFmtId="166" fontId="15" fillId="0" borderId="2" xfId="1" applyNumberFormat="1" applyFont="1" applyFill="1" applyBorder="1" applyAlignment="1">
      <alignment horizontal="center" vertical="center"/>
    </xf>
    <xf numFmtId="166" fontId="15" fillId="0" borderId="5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166" fontId="15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9" fontId="7" fillId="0" borderId="6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7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7" fillId="0" borderId="1" xfId="2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3" xfId="0" applyFont="1" applyFill="1" applyBorder="1"/>
    <xf numFmtId="0" fontId="15" fillId="0" borderId="3" xfId="1" applyNumberFormat="1" applyFont="1" applyFill="1" applyBorder="1" applyAlignment="1">
      <alignment horizontal="center" vertical="center" wrapText="1"/>
    </xf>
    <xf numFmtId="0" fontId="6" fillId="0" borderId="3" xfId="1" applyNumberFormat="1" applyFont="1" applyFill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wrapText="1"/>
    </xf>
    <xf numFmtId="9" fontId="5" fillId="0" borderId="1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2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/>
    <xf numFmtId="0" fontId="6" fillId="0" borderId="12" xfId="0" applyFont="1" applyFill="1" applyBorder="1"/>
    <xf numFmtId="0" fontId="6" fillId="0" borderId="9" xfId="0" applyFont="1" applyFill="1" applyBorder="1"/>
    <xf numFmtId="9" fontId="5" fillId="0" borderId="0" xfId="2" applyFont="1" applyFill="1" applyBorder="1" applyAlignment="1">
      <alignment horizont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9" fontId="6" fillId="0" borderId="6" xfId="2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0" fontId="22" fillId="0" borderId="1" xfId="0" applyNumberFormat="1" applyFont="1" applyBorder="1" applyAlignment="1">
      <alignment horizontal="center" vertical="center" wrapText="1"/>
    </xf>
    <xf numFmtId="10" fontId="22" fillId="0" borderId="0" xfId="0" applyNumberFormat="1" applyFont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wrapText="1"/>
    </xf>
    <xf numFmtId="16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167" fontId="7" fillId="0" borderId="5" xfId="0" applyNumberFormat="1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/>
    </xf>
    <xf numFmtId="166" fontId="6" fillId="0" borderId="4" xfId="1" applyNumberFormat="1" applyFont="1" applyFill="1" applyBorder="1" applyAlignment="1">
      <alignment horizontal="center" vertical="center"/>
    </xf>
    <xf numFmtId="166" fontId="15" fillId="0" borderId="4" xfId="1" applyNumberFormat="1" applyFont="1" applyFill="1" applyBorder="1" applyAlignment="1">
      <alignment horizontal="center" vertical="center" wrapText="1"/>
    </xf>
    <xf numFmtId="166" fontId="15" fillId="0" borderId="5" xfId="1" applyNumberFormat="1" applyFont="1" applyFill="1" applyBorder="1" applyAlignment="1">
      <alignment horizontal="center" vertical="center" wrapText="1"/>
    </xf>
    <xf numFmtId="9" fontId="15" fillId="0" borderId="12" xfId="2" applyFont="1" applyFill="1" applyBorder="1" applyAlignment="1">
      <alignment horizontal="center" vertical="center" wrapText="1"/>
    </xf>
    <xf numFmtId="9" fontId="6" fillId="0" borderId="6" xfId="2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1" applyNumberFormat="1" applyFont="1" applyFill="1" applyBorder="1" applyAlignment="1">
      <alignment horizontal="center" vertical="center" wrapText="1"/>
    </xf>
    <xf numFmtId="166" fontId="6" fillId="0" borderId="9" xfId="1" applyNumberFormat="1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/>
    </xf>
    <xf numFmtId="166" fontId="15" fillId="0" borderId="1" xfId="1" applyNumberFormat="1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9" fontId="7" fillId="0" borderId="9" xfId="2" applyFont="1" applyFill="1" applyBorder="1" applyAlignment="1">
      <alignment horizontal="center" vertical="center" wrapText="1"/>
    </xf>
    <xf numFmtId="9" fontId="6" fillId="0" borderId="1" xfId="2" applyFont="1" applyFill="1" applyBorder="1" applyAlignment="1">
      <alignment horizontal="center" vertical="center"/>
    </xf>
    <xf numFmtId="9" fontId="6" fillId="0" borderId="0" xfId="0" applyNumberFormat="1" applyFont="1" applyFill="1"/>
    <xf numFmtId="166" fontId="6" fillId="0" borderId="1" xfId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7" fillId="0" borderId="14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9" fontId="17" fillId="0" borderId="14" xfId="0" applyNumberFormat="1" applyFont="1" applyFill="1" applyBorder="1" applyAlignment="1">
      <alignment vertical="center" wrapText="1"/>
    </xf>
    <xf numFmtId="9" fontId="25" fillId="0" borderId="5" xfId="2" applyFont="1" applyFill="1" applyBorder="1" applyAlignment="1">
      <alignment horizontal="center" vertical="center"/>
    </xf>
    <xf numFmtId="9" fontId="22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9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9" fontId="7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9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/>
    <xf numFmtId="9" fontId="26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6" fillId="0" borderId="1" xfId="2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center" vertical="center"/>
    </xf>
    <xf numFmtId="166" fontId="15" fillId="0" borderId="5" xfId="1" applyNumberFormat="1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9" fontId="17" fillId="0" borderId="0" xfId="0" applyNumberFormat="1" applyFont="1" applyFill="1"/>
    <xf numFmtId="9" fontId="2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2" xfId="2" applyFont="1" applyFill="1" applyBorder="1" applyAlignment="1">
      <alignment horizontal="center" vertical="center" wrapText="1"/>
    </xf>
    <xf numFmtId="9" fontId="6" fillId="0" borderId="4" xfId="2" applyFont="1" applyFill="1" applyBorder="1" applyAlignment="1">
      <alignment horizontal="center" vertical="center" wrapText="1"/>
    </xf>
    <xf numFmtId="9" fontId="6" fillId="0" borderId="5" xfId="2" applyFont="1" applyFill="1" applyBorder="1" applyAlignment="1">
      <alignment horizontal="center" vertical="center" wrapText="1"/>
    </xf>
    <xf numFmtId="9" fontId="17" fillId="0" borderId="1" xfId="2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9" fontId="26" fillId="0" borderId="1" xfId="2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9" fontId="2" fillId="0" borderId="1" xfId="2" applyFont="1" applyFill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9" fontId="6" fillId="0" borderId="1" xfId="2" applyFont="1" applyFill="1" applyBorder="1" applyAlignment="1">
      <alignment vertical="center" wrapText="1"/>
    </xf>
    <xf numFmtId="9" fontId="24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9" fontId="16" fillId="0" borderId="1" xfId="2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6" fontId="15" fillId="0" borderId="2" xfId="1" applyNumberFormat="1" applyFont="1" applyFill="1" applyBorder="1" applyAlignment="1">
      <alignment vertical="center" wrapText="1"/>
    </xf>
    <xf numFmtId="166" fontId="15" fillId="0" borderId="4" xfId="1" applyNumberFormat="1" applyFont="1" applyFill="1" applyBorder="1" applyAlignment="1">
      <alignment vertical="center" wrapText="1"/>
    </xf>
    <xf numFmtId="166" fontId="15" fillId="0" borderId="5" xfId="1" applyNumberFormat="1" applyFont="1" applyFill="1" applyBorder="1" applyAlignment="1">
      <alignment vertical="center" wrapText="1"/>
    </xf>
    <xf numFmtId="167" fontId="7" fillId="0" borderId="4" xfId="0" applyNumberFormat="1" applyFont="1" applyFill="1" applyBorder="1" applyAlignment="1">
      <alignment vertical="center" wrapText="1"/>
    </xf>
    <xf numFmtId="167" fontId="7" fillId="0" borderId="5" xfId="0" applyNumberFormat="1" applyFont="1" applyFill="1" applyBorder="1" applyAlignment="1">
      <alignment vertical="center" wrapText="1"/>
    </xf>
    <xf numFmtId="9" fontId="15" fillId="0" borderId="6" xfId="2" applyFont="1" applyFill="1" applyBorder="1" applyAlignment="1">
      <alignment vertical="center" wrapText="1"/>
    </xf>
    <xf numFmtId="169" fontId="18" fillId="0" borderId="0" xfId="2" applyNumberFormat="1" applyFont="1" applyFill="1"/>
    <xf numFmtId="167" fontId="7" fillId="0" borderId="2" xfId="0" applyNumberFormat="1" applyFont="1" applyFill="1" applyBorder="1" applyAlignment="1">
      <alignment horizontal="center" vertical="center" wrapText="1"/>
    </xf>
    <xf numFmtId="167" fontId="7" fillId="0" borderId="4" xfId="0" applyNumberFormat="1" applyFont="1" applyFill="1" applyBorder="1" applyAlignment="1">
      <alignment horizontal="center" vertical="center" wrapText="1"/>
    </xf>
    <xf numFmtId="9" fontId="7" fillId="0" borderId="2" xfId="2" applyFont="1" applyFill="1" applyBorder="1" applyAlignment="1">
      <alignment horizontal="center" vertical="center" wrapText="1"/>
    </xf>
    <xf numFmtId="9" fontId="7" fillId="0" borderId="4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7" fontId="7" fillId="0" borderId="5" xfId="0" applyNumberFormat="1" applyFont="1" applyFill="1" applyBorder="1" applyAlignment="1">
      <alignment horizontal="center" vertical="center" wrapText="1"/>
    </xf>
    <xf numFmtId="9" fontId="7" fillId="0" borderId="5" xfId="2" applyFont="1" applyFill="1" applyBorder="1" applyAlignment="1">
      <alignment horizontal="center" vertical="center" wrapText="1"/>
    </xf>
    <xf numFmtId="9" fontId="15" fillId="0" borderId="4" xfId="2" applyFont="1" applyFill="1" applyBorder="1" applyAlignment="1">
      <alignment horizontal="center" vertical="center" wrapText="1"/>
    </xf>
    <xf numFmtId="9" fontId="15" fillId="0" borderId="5" xfId="2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6" fillId="0" borderId="1" xfId="2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9" fontId="6" fillId="0" borderId="2" xfId="2" applyFont="1" applyFill="1" applyBorder="1" applyAlignment="1">
      <alignment horizontal="center" vertical="center" wrapText="1"/>
    </xf>
    <xf numFmtId="9" fontId="6" fillId="0" borderId="5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9" fontId="6" fillId="0" borderId="3" xfId="2" applyFont="1" applyFill="1" applyBorder="1" applyAlignment="1">
      <alignment horizontal="center" vertical="center"/>
    </xf>
    <xf numFmtId="166" fontId="15" fillId="0" borderId="2" xfId="1" applyNumberFormat="1" applyFont="1" applyFill="1" applyBorder="1" applyAlignment="1">
      <alignment horizontal="center" vertical="center" wrapText="1"/>
    </xf>
    <xf numFmtId="166" fontId="15" fillId="0" borderId="4" xfId="1" applyNumberFormat="1" applyFont="1" applyFill="1" applyBorder="1" applyAlignment="1">
      <alignment horizontal="center" vertical="center" wrapText="1"/>
    </xf>
    <xf numFmtId="166" fontId="15" fillId="0" borderId="5" xfId="1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 vertical="center" wrapText="1"/>
    </xf>
    <xf numFmtId="9" fontId="15" fillId="0" borderId="6" xfId="2" applyFont="1" applyFill="1" applyBorder="1" applyAlignment="1">
      <alignment horizontal="center" vertical="center" wrapText="1"/>
    </xf>
    <xf numFmtId="9" fontId="15" fillId="0" borderId="9" xfId="2" applyFont="1" applyFill="1" applyBorder="1" applyAlignment="1">
      <alignment horizontal="center" vertical="center" wrapText="1"/>
    </xf>
    <xf numFmtId="9" fontId="15" fillId="0" borderId="12" xfId="2" applyFont="1" applyFill="1" applyBorder="1" applyAlignment="1">
      <alignment horizontal="center" vertical="center" wrapText="1"/>
    </xf>
    <xf numFmtId="9" fontId="6" fillId="0" borderId="6" xfId="2" applyFont="1" applyFill="1" applyBorder="1" applyAlignment="1">
      <alignment horizontal="center" vertical="center"/>
    </xf>
    <xf numFmtId="9" fontId="6" fillId="0" borderId="12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166" fontId="15" fillId="0" borderId="1" xfId="1" applyNumberFormat="1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/>
    </xf>
    <xf numFmtId="166" fontId="6" fillId="0" borderId="4" xfId="1" applyNumberFormat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center" vertical="center"/>
    </xf>
    <xf numFmtId="167" fontId="6" fillId="0" borderId="10" xfId="0" applyNumberFormat="1" applyFont="1" applyFill="1" applyBorder="1" applyAlignment="1">
      <alignment horizontal="center"/>
    </xf>
    <xf numFmtId="167" fontId="6" fillId="0" borderId="11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167" fontId="6" fillId="0" borderId="2" xfId="0" applyNumberFormat="1" applyFont="1" applyFill="1" applyBorder="1" applyAlignment="1">
      <alignment horizontal="center"/>
    </xf>
    <xf numFmtId="167" fontId="6" fillId="0" borderId="4" xfId="0" applyNumberFormat="1" applyFont="1" applyFill="1" applyBorder="1" applyAlignment="1">
      <alignment horizontal="center"/>
    </xf>
    <xf numFmtId="166" fontId="15" fillId="0" borderId="2" xfId="1" applyNumberFormat="1" applyFont="1" applyFill="1" applyBorder="1" applyAlignment="1">
      <alignment horizontal="center" vertical="center"/>
    </xf>
    <xf numFmtId="166" fontId="15" fillId="0" borderId="4" xfId="1" applyNumberFormat="1" applyFont="1" applyFill="1" applyBorder="1" applyAlignment="1">
      <alignment horizontal="center" vertical="center"/>
    </xf>
    <xf numFmtId="166" fontId="15" fillId="0" borderId="5" xfId="1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166" fontId="6" fillId="0" borderId="3" xfId="1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166" fontId="6" fillId="0" borderId="5" xfId="1" applyNumberFormat="1" applyFont="1" applyFill="1" applyBorder="1" applyAlignment="1">
      <alignment horizontal="center" vertical="center" wrapText="1"/>
    </xf>
    <xf numFmtId="166" fontId="6" fillId="0" borderId="6" xfId="1" applyNumberFormat="1" applyFont="1" applyFill="1" applyBorder="1" applyAlignment="1">
      <alignment horizontal="center" vertical="center" wrapText="1"/>
    </xf>
    <xf numFmtId="166" fontId="6" fillId="0" borderId="12" xfId="1" applyNumberFormat="1" applyFont="1" applyFill="1" applyBorder="1" applyAlignment="1">
      <alignment horizontal="center" vertical="center" wrapText="1"/>
    </xf>
    <xf numFmtId="166" fontId="6" fillId="0" borderId="9" xfId="1" applyNumberFormat="1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/>
    </xf>
    <xf numFmtId="9" fontId="12" fillId="0" borderId="3" xfId="2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wrapText="1"/>
    </xf>
    <xf numFmtId="9" fontId="6" fillId="0" borderId="3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9" fontId="6" fillId="0" borderId="5" xfId="0" applyNumberFormat="1" applyFont="1" applyFill="1" applyBorder="1" applyAlignment="1">
      <alignment horizontal="center" vertical="center" wrapText="1"/>
    </xf>
    <xf numFmtId="9" fontId="17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9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9" fontId="6" fillId="0" borderId="4" xfId="2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9" fontId="2" fillId="0" borderId="1" xfId="2" applyFont="1" applyFill="1" applyBorder="1" applyAlignment="1">
      <alignment horizontal="center" vertical="center" wrapText="1"/>
    </xf>
    <xf numFmtId="9" fontId="7" fillId="0" borderId="1" xfId="2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10" fontId="6" fillId="0" borderId="4" xfId="0" applyNumberFormat="1" applyFont="1" applyFill="1" applyBorder="1" applyAlignment="1">
      <alignment horizontal="center" vertical="center" wrapText="1"/>
    </xf>
    <xf numFmtId="10" fontId="6" fillId="0" borderId="5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9" fontId="17" fillId="0" borderId="10" xfId="0" applyNumberFormat="1" applyFont="1" applyFill="1" applyBorder="1" applyAlignment="1">
      <alignment horizontal="center" vertical="center" wrapText="1"/>
    </xf>
    <xf numFmtId="9" fontId="17" fillId="0" borderId="11" xfId="0" applyNumberFormat="1" applyFont="1" applyFill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9" fontId="6" fillId="0" borderId="2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6" fillId="0" borderId="5" xfId="2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1" fillId="0" borderId="1" xfId="4" applyFill="1" applyBorder="1" applyAlignment="1">
      <alignment horizontal="center" vertical="center"/>
    </xf>
    <xf numFmtId="0" fontId="21" fillId="0" borderId="2" xfId="4" applyFill="1" applyBorder="1" applyAlignment="1">
      <alignment horizontal="center" vertical="center"/>
    </xf>
  </cellXfs>
  <cellStyles count="5">
    <cellStyle name="Hipervínculo" xfId="4" builtinId="8"/>
    <cellStyle name="Moneda" xfId="1" builtinId="4"/>
    <cellStyle name="Moneda [0]" xfId="3" builtinId="7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lcart.sharepoint.com/:f:/s/Metropilizacin/EqQjEjNTlmtKs4KSXHHTiiYB2NFF8XBZ68YUH_bsvGkKGg" TargetMode="External"/><Relationship Id="rId3" Type="http://schemas.openxmlformats.org/officeDocument/2006/relationships/hyperlink" Target="https://drive.google.com/drive/folders/1D65bDmwM-D8dftLuQvXZfFOplt3KNpE2" TargetMode="External"/><Relationship Id="rId7" Type="http://schemas.openxmlformats.org/officeDocument/2006/relationships/hyperlink" Target="https://alcart.sharepoint.com/:f:/s/HabilitacindeSuelo/EqyUw54acPVIu2ouDwxavAoBdrgGq8ViiCS3lSzltkDrpw" TargetMode="External"/><Relationship Id="rId2" Type="http://schemas.openxmlformats.org/officeDocument/2006/relationships/hyperlink" Target="https://drive.google.com/drive/folders/1-QxwaosHEdnVTLuepIg8KAcSyfig9oOm?usp=sharing" TargetMode="External"/><Relationship Id="rId1" Type="http://schemas.openxmlformats.org/officeDocument/2006/relationships/hyperlink" Target="https://drive.google.com/drive/u/1/folders/1XskF5U1L0RcED8Ni58aZnDlBLXeIXtqi" TargetMode="External"/><Relationship Id="rId6" Type="http://schemas.openxmlformats.org/officeDocument/2006/relationships/hyperlink" Target="https://drive.google.com/drive/folders/1F-QshUhzvtatbKmJguK5E6XW3Ip_rHVi?usp=sharing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drive.google.com/drive/folders/1zhtgFX71GwyZD6Sndppn68QX31k0_O2R?usp=sharing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drive.google.com/drive/folders/1F-QshUhzvtatbKmJguK5E6XW3Ip_rHVi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Y117"/>
  <sheetViews>
    <sheetView tabSelected="1" topLeftCell="AM3" zoomScale="60" zoomScaleNormal="60" workbookViewId="0">
      <pane ySplit="1" topLeftCell="A4" activePane="bottomLeft" state="frozen"/>
      <selection activeCell="P3" sqref="P3"/>
      <selection pane="bottomLeft" activeCell="AU4" sqref="AU4:AU38"/>
    </sheetView>
  </sheetViews>
  <sheetFormatPr baseColWidth="10" defaultColWidth="11.453125" defaultRowHeight="14.5" x14ac:dyDescent="0.35"/>
  <cols>
    <col min="1" max="1" width="25.1796875" style="2" customWidth="1"/>
    <col min="2" max="2" width="17.54296875" style="2" customWidth="1"/>
    <col min="3" max="3" width="16.26953125" style="2" customWidth="1"/>
    <col min="4" max="4" width="16.54296875" style="2" customWidth="1"/>
    <col min="5" max="5" width="16" style="2" customWidth="1"/>
    <col min="6" max="6" width="26" style="2" customWidth="1"/>
    <col min="7" max="9" width="23.26953125" style="2" customWidth="1"/>
    <col min="10" max="10" width="20.54296875" style="2" customWidth="1"/>
    <col min="11" max="11" width="41.26953125" style="2" customWidth="1"/>
    <col min="12" max="12" width="23.26953125" style="2" customWidth="1"/>
    <col min="13" max="13" width="24" style="2" customWidth="1"/>
    <col min="14" max="15" width="26.453125" style="2" customWidth="1"/>
    <col min="16" max="17" width="24" style="2" customWidth="1"/>
    <col min="18" max="18" width="24" style="149" customWidth="1"/>
    <col min="19" max="20" width="24" style="2" customWidth="1"/>
    <col min="21" max="21" width="30.453125" style="2" customWidth="1"/>
    <col min="22" max="22" width="32.81640625" style="2" customWidth="1"/>
    <col min="23" max="23" width="40" style="2" customWidth="1"/>
    <col min="24" max="24" width="39.81640625" style="2" customWidth="1"/>
    <col min="25" max="25" width="38" style="2" customWidth="1"/>
    <col min="26" max="27" width="20.7265625" style="2" customWidth="1"/>
    <col min="28" max="29" width="34" style="2" customWidth="1"/>
    <col min="30" max="30" width="34" style="149" customWidth="1"/>
    <col min="31" max="32" width="34" style="2" customWidth="1"/>
    <col min="33" max="33" width="16.7265625" style="2" customWidth="1"/>
    <col min="34" max="34" width="18.54296875" style="2" customWidth="1"/>
    <col min="35" max="37" width="27.54296875" style="2" customWidth="1"/>
    <col min="38" max="38" width="20.7265625" style="2" customWidth="1"/>
    <col min="39" max="39" width="15.81640625" style="2" customWidth="1"/>
    <col min="40" max="40" width="29.81640625" style="2" customWidth="1"/>
    <col min="41" max="41" width="28.54296875" style="2" customWidth="1"/>
    <col min="42" max="42" width="33.26953125" style="2" customWidth="1"/>
    <col min="43" max="43" width="35.1796875" style="2" customWidth="1"/>
    <col min="44" max="44" width="35.1796875" style="15" customWidth="1"/>
    <col min="45" max="45" width="50.54296875" style="2" hidden="1" customWidth="1"/>
    <col min="46" max="46" width="50.54296875" style="2" customWidth="1"/>
    <col min="47" max="47" width="44.453125" style="2" customWidth="1"/>
    <col min="48" max="16384" width="11.453125" style="2"/>
  </cols>
  <sheetData>
    <row r="3" spans="1:51" ht="58.5" customHeigh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345</v>
      </c>
      <c r="F3" s="1" t="s">
        <v>4</v>
      </c>
      <c r="G3" s="1" t="s">
        <v>5</v>
      </c>
      <c r="H3" s="1" t="s">
        <v>343</v>
      </c>
      <c r="I3" s="1" t="s">
        <v>344</v>
      </c>
      <c r="J3" s="1" t="s">
        <v>3</v>
      </c>
      <c r="K3" s="1" t="s">
        <v>6</v>
      </c>
      <c r="L3" s="1" t="s">
        <v>7</v>
      </c>
      <c r="M3" s="1" t="s">
        <v>347</v>
      </c>
      <c r="N3" s="1" t="s">
        <v>285</v>
      </c>
      <c r="O3" s="1" t="s">
        <v>297</v>
      </c>
      <c r="P3" s="1" t="s">
        <v>323</v>
      </c>
      <c r="Q3" s="1" t="s">
        <v>346</v>
      </c>
      <c r="R3" s="191" t="s">
        <v>379</v>
      </c>
      <c r="S3" s="1" t="s">
        <v>376</v>
      </c>
      <c r="T3" s="1" t="s">
        <v>348</v>
      </c>
      <c r="U3" s="1" t="s">
        <v>306</v>
      </c>
      <c r="V3" s="1" t="s">
        <v>8</v>
      </c>
      <c r="W3" s="1" t="s">
        <v>107</v>
      </c>
      <c r="X3" s="1" t="s">
        <v>108</v>
      </c>
      <c r="Y3" s="1" t="s">
        <v>109</v>
      </c>
      <c r="Z3" s="1" t="s">
        <v>110</v>
      </c>
      <c r="AA3" s="1" t="s">
        <v>349</v>
      </c>
      <c r="AB3" s="1" t="s">
        <v>324</v>
      </c>
      <c r="AC3" s="1" t="s">
        <v>350</v>
      </c>
      <c r="AD3" s="147" t="s">
        <v>380</v>
      </c>
      <c r="AE3" s="1" t="s">
        <v>352</v>
      </c>
      <c r="AF3" s="1" t="s">
        <v>351</v>
      </c>
      <c r="AG3" s="1" t="s">
        <v>353</v>
      </c>
      <c r="AH3" s="1" t="s">
        <v>354</v>
      </c>
      <c r="AI3" s="1" t="s">
        <v>111</v>
      </c>
      <c r="AJ3" s="1" t="s">
        <v>355</v>
      </c>
      <c r="AK3" s="1" t="s">
        <v>356</v>
      </c>
      <c r="AL3" s="1" t="s">
        <v>112</v>
      </c>
      <c r="AM3" s="1" t="s">
        <v>113</v>
      </c>
      <c r="AN3" s="1" t="s">
        <v>114</v>
      </c>
      <c r="AO3" s="1" t="s">
        <v>115</v>
      </c>
      <c r="AP3" s="1" t="s">
        <v>116</v>
      </c>
      <c r="AQ3" s="27" t="s">
        <v>298</v>
      </c>
      <c r="AR3" s="28" t="s">
        <v>322</v>
      </c>
      <c r="AS3" s="28" t="s">
        <v>336</v>
      </c>
      <c r="AT3" s="83" t="s">
        <v>382</v>
      </c>
      <c r="AU3" s="73" t="s">
        <v>337</v>
      </c>
    </row>
    <row r="4" spans="1:51" ht="133.5" customHeight="1" x14ac:dyDescent="0.35">
      <c r="A4" s="301" t="s">
        <v>9</v>
      </c>
      <c r="B4" s="203" t="s">
        <v>125</v>
      </c>
      <c r="C4" s="203" t="s">
        <v>126</v>
      </c>
      <c r="D4" s="292" t="s">
        <v>127</v>
      </c>
      <c r="E4" s="292" t="s">
        <v>128</v>
      </c>
      <c r="F4" s="154" t="s">
        <v>129</v>
      </c>
      <c r="G4" s="154" t="s">
        <v>130</v>
      </c>
      <c r="H4" s="154"/>
      <c r="I4" s="154"/>
      <c r="J4" s="154" t="s">
        <v>245</v>
      </c>
      <c r="K4" s="154" t="s">
        <v>131</v>
      </c>
      <c r="L4" s="154">
        <v>1</v>
      </c>
      <c r="M4" s="154">
        <f>+I4</f>
        <v>0</v>
      </c>
      <c r="N4" s="154" t="s">
        <v>216</v>
      </c>
      <c r="O4" s="154"/>
      <c r="P4" s="154">
        <v>0</v>
      </c>
      <c r="Q4" s="154">
        <v>0</v>
      </c>
      <c r="R4" s="154"/>
      <c r="S4" s="154">
        <f>+O4+P4+Q4+R4</f>
        <v>0</v>
      </c>
      <c r="T4" s="152" t="s">
        <v>216</v>
      </c>
      <c r="U4" s="152"/>
      <c r="V4" s="154" t="s">
        <v>22</v>
      </c>
      <c r="W4" s="178">
        <v>2020130010062</v>
      </c>
      <c r="X4" s="154" t="s">
        <v>172</v>
      </c>
      <c r="Y4" s="154" t="s">
        <v>160</v>
      </c>
      <c r="Z4" s="154">
        <v>20</v>
      </c>
      <c r="AA4" s="154"/>
      <c r="AB4" s="154">
        <v>0</v>
      </c>
      <c r="AC4" s="154"/>
      <c r="AD4" s="154"/>
      <c r="AE4" s="154">
        <f>+AA4+AB4+AC4+AD4</f>
        <v>0</v>
      </c>
      <c r="AF4" s="152">
        <f>+AE4/Z4</f>
        <v>0</v>
      </c>
      <c r="AG4" s="154" t="s">
        <v>295</v>
      </c>
      <c r="AH4" s="154" t="s">
        <v>159</v>
      </c>
      <c r="AI4" s="154" t="s">
        <v>10</v>
      </c>
      <c r="AJ4" s="154"/>
      <c r="AK4" s="154"/>
      <c r="AL4" s="154" t="s">
        <v>161</v>
      </c>
      <c r="AM4" s="154"/>
      <c r="AN4" s="12"/>
      <c r="AO4" s="17"/>
      <c r="AP4" s="17"/>
      <c r="AQ4" s="12">
        <v>0</v>
      </c>
      <c r="AR4" s="29"/>
      <c r="AS4" s="64"/>
      <c r="AT4" s="64"/>
      <c r="AU4" s="323" t="s">
        <v>384</v>
      </c>
    </row>
    <row r="5" spans="1:51" ht="133.5" customHeight="1" x14ac:dyDescent="0.35">
      <c r="A5" s="302"/>
      <c r="B5" s="205"/>
      <c r="C5" s="205"/>
      <c r="D5" s="293"/>
      <c r="E5" s="293"/>
      <c r="F5" s="210" t="s">
        <v>357</v>
      </c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2"/>
      <c r="T5" s="168">
        <v>0</v>
      </c>
      <c r="U5" s="168">
        <f>+U4</f>
        <v>0</v>
      </c>
      <c r="V5" s="222" t="s">
        <v>375</v>
      </c>
      <c r="W5" s="223"/>
      <c r="X5" s="223"/>
      <c r="Y5" s="223"/>
      <c r="Z5" s="223"/>
      <c r="AA5" s="223"/>
      <c r="AB5" s="223"/>
      <c r="AC5" s="223"/>
      <c r="AD5" s="223"/>
      <c r="AE5" s="224"/>
      <c r="AF5" s="228">
        <f>+AF4</f>
        <v>0</v>
      </c>
      <c r="AG5" s="154"/>
      <c r="AH5" s="154"/>
      <c r="AI5" s="154"/>
      <c r="AJ5" s="154"/>
      <c r="AK5" s="154"/>
      <c r="AL5" s="154"/>
      <c r="AM5" s="160"/>
      <c r="AN5" s="84"/>
      <c r="AO5" s="33"/>
      <c r="AP5" s="33"/>
      <c r="AQ5" s="84"/>
      <c r="AR5" s="85"/>
      <c r="AS5" s="64"/>
      <c r="AT5" s="64"/>
      <c r="AU5" s="216"/>
    </row>
    <row r="6" spans="1:51" ht="31" x14ac:dyDescent="0.35">
      <c r="A6" s="302"/>
      <c r="B6" s="210" t="s">
        <v>358</v>
      </c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2"/>
      <c r="T6" s="168">
        <v>0</v>
      </c>
      <c r="U6" s="168">
        <f>+U5</f>
        <v>0</v>
      </c>
      <c r="V6" s="225"/>
      <c r="W6" s="226"/>
      <c r="X6" s="226"/>
      <c r="Y6" s="226"/>
      <c r="Z6" s="226"/>
      <c r="AA6" s="226"/>
      <c r="AB6" s="226"/>
      <c r="AC6" s="226"/>
      <c r="AD6" s="226"/>
      <c r="AE6" s="227"/>
      <c r="AF6" s="229"/>
      <c r="AG6" s="154"/>
      <c r="AH6" s="154"/>
      <c r="AI6" s="154"/>
      <c r="AJ6" s="154"/>
      <c r="AK6" s="154"/>
      <c r="AL6" s="154"/>
      <c r="AM6" s="160"/>
      <c r="AN6" s="84"/>
      <c r="AO6" s="33"/>
      <c r="AP6" s="33"/>
      <c r="AQ6" s="84"/>
      <c r="AR6" s="85"/>
      <c r="AS6" s="64"/>
      <c r="AT6" s="64"/>
      <c r="AU6" s="216"/>
    </row>
    <row r="7" spans="1:51" ht="173.25" customHeight="1" x14ac:dyDescent="0.35">
      <c r="A7" s="302"/>
      <c r="B7" s="230" t="s">
        <v>10</v>
      </c>
      <c r="C7" s="230" t="s">
        <v>11</v>
      </c>
      <c r="D7" s="230" t="s">
        <v>12</v>
      </c>
      <c r="E7" s="230" t="s">
        <v>13</v>
      </c>
      <c r="F7" s="230" t="s">
        <v>14</v>
      </c>
      <c r="G7" s="230" t="s">
        <v>132</v>
      </c>
      <c r="H7" s="154"/>
      <c r="I7" s="154"/>
      <c r="J7" s="230">
        <v>0</v>
      </c>
      <c r="K7" s="230" t="s">
        <v>133</v>
      </c>
      <c r="L7" s="230">
        <v>8</v>
      </c>
      <c r="M7" s="203">
        <v>0</v>
      </c>
      <c r="N7" s="230">
        <v>1</v>
      </c>
      <c r="O7" s="230"/>
      <c r="P7" s="230">
        <v>0</v>
      </c>
      <c r="Q7" s="230">
        <v>0</v>
      </c>
      <c r="R7" s="231">
        <v>0.1</v>
      </c>
      <c r="S7" s="221">
        <f>+O7+P7+Q7+R7</f>
        <v>0.1</v>
      </c>
      <c r="T7" s="228">
        <f>+S7/N7</f>
        <v>0.1</v>
      </c>
      <c r="U7" s="228">
        <f>+(M7+S7)/L7</f>
        <v>1.2500000000000001E-2</v>
      </c>
      <c r="V7" s="230" t="s">
        <v>15</v>
      </c>
      <c r="W7" s="230" t="s">
        <v>272</v>
      </c>
      <c r="X7" s="230" t="s">
        <v>273</v>
      </c>
      <c r="Y7" s="230" t="s">
        <v>162</v>
      </c>
      <c r="Z7" s="230">
        <v>10</v>
      </c>
      <c r="AA7" s="203"/>
      <c r="AB7" s="230">
        <v>0</v>
      </c>
      <c r="AC7" s="203"/>
      <c r="AD7" s="221">
        <v>0.1</v>
      </c>
      <c r="AE7" s="231">
        <f>+AA7+AB7+AC7+AD7</f>
        <v>0.1</v>
      </c>
      <c r="AF7" s="219">
        <f>+AE7/Z7</f>
        <v>0.01</v>
      </c>
      <c r="AG7" s="220" t="s">
        <v>295</v>
      </c>
      <c r="AH7" s="220" t="s">
        <v>163</v>
      </c>
      <c r="AI7" s="9" t="s">
        <v>173</v>
      </c>
      <c r="AJ7" s="9"/>
      <c r="AK7" s="9"/>
      <c r="AL7" s="9" t="s">
        <v>165</v>
      </c>
      <c r="AM7" s="24" t="s">
        <v>185</v>
      </c>
      <c r="AN7" s="24">
        <v>1000000000</v>
      </c>
      <c r="AO7" s="13" t="s">
        <v>217</v>
      </c>
      <c r="AP7" s="20" t="s">
        <v>331</v>
      </c>
      <c r="AQ7" s="24">
        <v>128986667</v>
      </c>
      <c r="AR7" s="30">
        <f>+AQ7/AN7</f>
        <v>0.128986667</v>
      </c>
      <c r="AS7" s="64"/>
      <c r="AT7" s="64"/>
      <c r="AU7" s="216"/>
    </row>
    <row r="8" spans="1:51" ht="173.25" customHeight="1" x14ac:dyDescent="0.35">
      <c r="A8" s="302"/>
      <c r="B8" s="230"/>
      <c r="C8" s="230"/>
      <c r="D8" s="230"/>
      <c r="E8" s="230"/>
      <c r="F8" s="230"/>
      <c r="G8" s="230"/>
      <c r="H8" s="154"/>
      <c r="I8" s="154"/>
      <c r="J8" s="230"/>
      <c r="K8" s="230"/>
      <c r="L8" s="230"/>
      <c r="M8" s="204"/>
      <c r="N8" s="230"/>
      <c r="O8" s="230"/>
      <c r="P8" s="230"/>
      <c r="Q8" s="230"/>
      <c r="R8" s="230"/>
      <c r="S8" s="204"/>
      <c r="T8" s="298"/>
      <c r="U8" s="298"/>
      <c r="V8" s="230"/>
      <c r="W8" s="230"/>
      <c r="X8" s="230"/>
      <c r="Y8" s="230"/>
      <c r="Z8" s="230"/>
      <c r="AA8" s="204"/>
      <c r="AB8" s="230"/>
      <c r="AC8" s="204"/>
      <c r="AD8" s="204"/>
      <c r="AE8" s="230"/>
      <c r="AF8" s="219"/>
      <c r="AG8" s="220"/>
      <c r="AH8" s="220"/>
      <c r="AI8" s="9"/>
      <c r="AJ8" s="9"/>
      <c r="AK8" s="9"/>
      <c r="AL8" s="9"/>
      <c r="AM8" s="26" t="s">
        <v>332</v>
      </c>
      <c r="AN8" s="26">
        <v>0</v>
      </c>
      <c r="AO8" s="13" t="s">
        <v>217</v>
      </c>
      <c r="AP8" s="20" t="s">
        <v>333</v>
      </c>
      <c r="AQ8" s="26">
        <v>0</v>
      </c>
      <c r="AR8" s="30"/>
      <c r="AS8" s="64"/>
      <c r="AT8" s="64"/>
      <c r="AU8" s="216"/>
    </row>
    <row r="9" spans="1:51" ht="58.5" customHeight="1" x14ac:dyDescent="0.35">
      <c r="A9" s="302"/>
      <c r="B9" s="230"/>
      <c r="C9" s="230"/>
      <c r="D9" s="230"/>
      <c r="E9" s="230"/>
      <c r="F9" s="230"/>
      <c r="G9" s="230"/>
      <c r="H9" s="154"/>
      <c r="I9" s="154"/>
      <c r="J9" s="230"/>
      <c r="K9" s="230"/>
      <c r="L9" s="230"/>
      <c r="M9" s="205"/>
      <c r="N9" s="230"/>
      <c r="O9" s="230"/>
      <c r="P9" s="230"/>
      <c r="Q9" s="230"/>
      <c r="R9" s="230"/>
      <c r="S9" s="205"/>
      <c r="T9" s="229"/>
      <c r="U9" s="229"/>
      <c r="V9" s="230"/>
      <c r="W9" s="230"/>
      <c r="X9" s="230"/>
      <c r="Y9" s="230"/>
      <c r="Z9" s="230"/>
      <c r="AA9" s="205"/>
      <c r="AB9" s="230"/>
      <c r="AC9" s="205"/>
      <c r="AD9" s="205"/>
      <c r="AE9" s="230"/>
      <c r="AF9" s="219"/>
      <c r="AG9" s="220"/>
      <c r="AH9" s="220"/>
      <c r="AI9" s="9" t="s">
        <v>173</v>
      </c>
      <c r="AJ9" s="9"/>
      <c r="AK9" s="9"/>
      <c r="AL9" s="9" t="s">
        <v>165</v>
      </c>
      <c r="AM9" s="25" t="s">
        <v>335</v>
      </c>
      <c r="AN9" s="25">
        <v>222684205.44</v>
      </c>
      <c r="AO9" s="13" t="s">
        <v>217</v>
      </c>
      <c r="AP9" s="20" t="s">
        <v>334</v>
      </c>
      <c r="AQ9" s="25">
        <v>0</v>
      </c>
      <c r="AR9" s="30">
        <f>+AQ9/AN9</f>
        <v>0</v>
      </c>
      <c r="AS9" s="64"/>
      <c r="AT9" s="64"/>
      <c r="AU9" s="216"/>
    </row>
    <row r="10" spans="1:51" ht="58.5" customHeight="1" x14ac:dyDescent="0.35">
      <c r="A10" s="302"/>
      <c r="B10" s="154"/>
      <c r="C10" s="154"/>
      <c r="D10" s="154"/>
      <c r="E10" s="154"/>
      <c r="F10" s="210" t="s">
        <v>359</v>
      </c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2"/>
      <c r="T10" s="170">
        <f>+T7</f>
        <v>0.1</v>
      </c>
      <c r="U10" s="170">
        <f>+U7</f>
        <v>1.2500000000000001E-2</v>
      </c>
      <c r="V10" s="222" t="s">
        <v>375</v>
      </c>
      <c r="W10" s="223"/>
      <c r="X10" s="223"/>
      <c r="Y10" s="223"/>
      <c r="Z10" s="223"/>
      <c r="AA10" s="223"/>
      <c r="AB10" s="223"/>
      <c r="AC10" s="223"/>
      <c r="AD10" s="223"/>
      <c r="AE10" s="224"/>
      <c r="AF10" s="228">
        <f>+AF7</f>
        <v>0.01</v>
      </c>
      <c r="AG10" s="153"/>
      <c r="AH10" s="153"/>
      <c r="AI10" s="9"/>
      <c r="AJ10" s="9"/>
      <c r="AK10" s="9"/>
      <c r="AL10" s="9"/>
      <c r="AM10" s="25"/>
      <c r="AN10" s="25"/>
      <c r="AO10" s="13"/>
      <c r="AP10" s="59"/>
      <c r="AQ10" s="25"/>
      <c r="AR10" s="30"/>
      <c r="AS10" s="64"/>
      <c r="AT10" s="64"/>
      <c r="AU10" s="216"/>
    </row>
    <row r="11" spans="1:51" ht="58.5" customHeight="1" x14ac:dyDescent="0.35">
      <c r="A11" s="302"/>
      <c r="B11" s="210" t="s">
        <v>360</v>
      </c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2"/>
      <c r="T11" s="170">
        <f>+AVERAGE(T10)</f>
        <v>0.1</v>
      </c>
      <c r="U11" s="170">
        <f>+AVERAGE(U5,U10)</f>
        <v>6.2500000000000003E-3</v>
      </c>
      <c r="V11" s="225"/>
      <c r="W11" s="226"/>
      <c r="X11" s="226"/>
      <c r="Y11" s="226"/>
      <c r="Z11" s="226"/>
      <c r="AA11" s="226"/>
      <c r="AB11" s="226"/>
      <c r="AC11" s="226"/>
      <c r="AD11" s="226"/>
      <c r="AE11" s="227"/>
      <c r="AF11" s="229"/>
      <c r="AG11" s="153"/>
      <c r="AH11" s="153"/>
      <c r="AI11" s="9"/>
      <c r="AJ11" s="9"/>
      <c r="AK11" s="9"/>
      <c r="AL11" s="9"/>
      <c r="AM11" s="25"/>
      <c r="AN11" s="25"/>
      <c r="AO11" s="13"/>
      <c r="AP11" s="59"/>
      <c r="AQ11" s="25"/>
      <c r="AR11" s="30"/>
      <c r="AS11" s="64"/>
      <c r="AT11" s="64"/>
      <c r="AU11" s="216"/>
    </row>
    <row r="12" spans="1:51" ht="111.75" customHeight="1" x14ac:dyDescent="0.35">
      <c r="A12" s="302"/>
      <c r="B12" s="218" t="s">
        <v>16</v>
      </c>
      <c r="C12" s="179" t="s">
        <v>17</v>
      </c>
      <c r="D12" s="179">
        <v>0.5</v>
      </c>
      <c r="E12" s="179" t="s">
        <v>18</v>
      </c>
      <c r="F12" s="218" t="s">
        <v>134</v>
      </c>
      <c r="G12" s="141" t="s">
        <v>19</v>
      </c>
      <c r="H12" s="141"/>
      <c r="I12" s="141"/>
      <c r="J12" s="141" t="s">
        <v>20</v>
      </c>
      <c r="K12" s="141" t="s">
        <v>21</v>
      </c>
      <c r="L12" s="141">
        <v>1</v>
      </c>
      <c r="M12" s="79">
        <v>0.4</v>
      </c>
      <c r="N12" s="79">
        <v>0.5</v>
      </c>
      <c r="O12" s="79"/>
      <c r="P12" s="181">
        <v>1.4999999999999999E-2</v>
      </c>
      <c r="Q12" s="79">
        <v>0.12</v>
      </c>
      <c r="R12" s="79">
        <v>0.06</v>
      </c>
      <c r="S12" s="79">
        <f>+O12+P12+Q12+R12</f>
        <v>0.19500000000000001</v>
      </c>
      <c r="T12" s="62">
        <f>+S12/N12</f>
        <v>0.39</v>
      </c>
      <c r="U12" s="79">
        <f>+(M12+S12)/L12</f>
        <v>0.59499999999999997</v>
      </c>
      <c r="V12" s="230" t="s">
        <v>22</v>
      </c>
      <c r="W12" s="309">
        <v>2020130010062</v>
      </c>
      <c r="X12" s="230" t="s">
        <v>172</v>
      </c>
      <c r="Y12" s="138" t="s">
        <v>169</v>
      </c>
      <c r="Z12" s="138" t="s">
        <v>284</v>
      </c>
      <c r="AA12" s="138"/>
      <c r="AB12" s="78">
        <v>0.7</v>
      </c>
      <c r="AC12" s="78">
        <v>0.2</v>
      </c>
      <c r="AD12" s="78">
        <v>0.1</v>
      </c>
      <c r="AE12" s="78">
        <f>+AA12+AB12+AC12+AD12</f>
        <v>0.99999999999999989</v>
      </c>
      <c r="AF12" s="142">
        <f>+AE12</f>
        <v>0.99999999999999989</v>
      </c>
      <c r="AG12" s="140" t="s">
        <v>295</v>
      </c>
      <c r="AH12" s="140" t="s">
        <v>166</v>
      </c>
      <c r="AI12" s="146" t="s">
        <v>10</v>
      </c>
      <c r="AJ12" s="146"/>
      <c r="AK12" s="146"/>
      <c r="AL12" s="146" t="s">
        <v>165</v>
      </c>
      <c r="AM12" s="18" t="s">
        <v>185</v>
      </c>
      <c r="AN12" s="18">
        <v>1253226221</v>
      </c>
      <c r="AO12" s="13" t="s">
        <v>236</v>
      </c>
      <c r="AP12" s="20" t="s">
        <v>237</v>
      </c>
      <c r="AQ12" s="121">
        <v>1132724085.1500001</v>
      </c>
      <c r="AR12" s="31">
        <f>+AQ12/AN12</f>
        <v>0.90384646137243574</v>
      </c>
      <c r="AS12" s="64"/>
      <c r="AT12" s="64"/>
      <c r="AU12" s="216"/>
    </row>
    <row r="13" spans="1:51" ht="117" customHeight="1" x14ac:dyDescent="0.35">
      <c r="A13" s="302"/>
      <c r="B13" s="218"/>
      <c r="C13" s="217" t="s">
        <v>23</v>
      </c>
      <c r="D13" s="217">
        <v>1</v>
      </c>
      <c r="E13" s="217" t="s">
        <v>24</v>
      </c>
      <c r="F13" s="218"/>
      <c r="G13" s="141" t="s">
        <v>118</v>
      </c>
      <c r="H13" s="141"/>
      <c r="I13" s="141"/>
      <c r="J13" s="141" t="s">
        <v>32</v>
      </c>
      <c r="K13" s="141" t="s">
        <v>33</v>
      </c>
      <c r="L13" s="138">
        <v>25</v>
      </c>
      <c r="M13" s="141">
        <v>15</v>
      </c>
      <c r="N13" s="141">
        <v>10</v>
      </c>
      <c r="O13" s="141"/>
      <c r="P13" s="141">
        <v>0</v>
      </c>
      <c r="Q13" s="141">
        <v>0</v>
      </c>
      <c r="R13" s="141">
        <v>0</v>
      </c>
      <c r="S13" s="79">
        <f>+O13+P13+Q13+R13</f>
        <v>0</v>
      </c>
      <c r="T13" s="62">
        <f>+S13/N13</f>
        <v>0</v>
      </c>
      <c r="U13" s="79">
        <f>+(M13+S13)/L13</f>
        <v>0.6</v>
      </c>
      <c r="V13" s="230"/>
      <c r="W13" s="309"/>
      <c r="X13" s="230"/>
      <c r="Y13" s="138" t="s">
        <v>170</v>
      </c>
      <c r="Z13" s="138">
        <v>10</v>
      </c>
      <c r="AA13" s="138"/>
      <c r="AB13" s="78">
        <v>0</v>
      </c>
      <c r="AC13" s="78"/>
      <c r="AD13" s="78">
        <v>0</v>
      </c>
      <c r="AE13" s="190">
        <f>+AA13+AB13+AC13+AD13</f>
        <v>0</v>
      </c>
      <c r="AF13" s="142">
        <f t="shared" ref="AF13" si="0">+AE13</f>
        <v>0</v>
      </c>
      <c r="AG13" s="140" t="s">
        <v>295</v>
      </c>
      <c r="AH13" s="140" t="s">
        <v>166</v>
      </c>
      <c r="AI13" s="140" t="s">
        <v>10</v>
      </c>
      <c r="AJ13" s="140"/>
      <c r="AK13" s="140"/>
      <c r="AL13" s="146" t="s">
        <v>165</v>
      </c>
      <c r="AM13" s="220" t="s">
        <v>225</v>
      </c>
      <c r="AN13" s="220">
        <v>2973126000</v>
      </c>
      <c r="AO13" s="249" t="s">
        <v>236</v>
      </c>
      <c r="AP13" s="322" t="s">
        <v>238</v>
      </c>
      <c r="AQ13" s="220">
        <v>2651010406.6700001</v>
      </c>
      <c r="AR13" s="235">
        <f>+AQ13/AN13</f>
        <v>0.89165760437667296</v>
      </c>
      <c r="AS13" s="64"/>
      <c r="AT13" s="64"/>
      <c r="AU13" s="216"/>
      <c r="AY13" s="2" t="s">
        <v>117</v>
      </c>
    </row>
    <row r="14" spans="1:51" ht="99" customHeight="1" x14ac:dyDescent="0.35">
      <c r="A14" s="302"/>
      <c r="B14" s="218"/>
      <c r="C14" s="217"/>
      <c r="D14" s="217"/>
      <c r="E14" s="217"/>
      <c r="F14" s="218"/>
      <c r="G14" s="141" t="s">
        <v>31</v>
      </c>
      <c r="H14" s="141"/>
      <c r="I14" s="141"/>
      <c r="J14" s="141" t="s">
        <v>34</v>
      </c>
      <c r="K14" s="141" t="s">
        <v>35</v>
      </c>
      <c r="L14" s="138">
        <v>1</v>
      </c>
      <c r="M14" s="79">
        <v>0.5</v>
      </c>
      <c r="N14" s="79">
        <v>0.57999999999999996</v>
      </c>
      <c r="O14" s="79"/>
      <c r="P14" s="79">
        <v>0.08</v>
      </c>
      <c r="Q14" s="79">
        <v>0.18</v>
      </c>
      <c r="R14" s="79">
        <v>0.14000000000000001</v>
      </c>
      <c r="S14" s="79">
        <f>+O14+P14+Q14+R14</f>
        <v>0.4</v>
      </c>
      <c r="T14" s="62">
        <f>+S14/N14</f>
        <v>0.68965517241379315</v>
      </c>
      <c r="U14" s="79">
        <f>+(M14+S14)/L14</f>
        <v>0.9</v>
      </c>
      <c r="V14" s="230"/>
      <c r="W14" s="309"/>
      <c r="X14" s="230"/>
      <c r="Y14" s="138" t="s">
        <v>171</v>
      </c>
      <c r="Z14" s="138">
        <v>50</v>
      </c>
      <c r="AA14" s="138"/>
      <c r="AB14" s="78">
        <v>0.4</v>
      </c>
      <c r="AC14" s="78">
        <v>0.2</v>
      </c>
      <c r="AD14" s="78">
        <v>0.4</v>
      </c>
      <c r="AE14" s="190">
        <f>+AA14+AB14+AC14+AD14</f>
        <v>1</v>
      </c>
      <c r="AF14" s="142">
        <f t="shared" ref="AF14" si="1">+AE14</f>
        <v>1</v>
      </c>
      <c r="AG14" s="140" t="s">
        <v>295</v>
      </c>
      <c r="AH14" s="140" t="s">
        <v>163</v>
      </c>
      <c r="AI14" s="140" t="s">
        <v>174</v>
      </c>
      <c r="AJ14" s="140"/>
      <c r="AK14" s="140"/>
      <c r="AL14" s="146" t="s">
        <v>165</v>
      </c>
      <c r="AM14" s="220"/>
      <c r="AN14" s="220"/>
      <c r="AO14" s="249"/>
      <c r="AP14" s="322"/>
      <c r="AQ14" s="220"/>
      <c r="AR14" s="235"/>
      <c r="AS14" s="64"/>
      <c r="AT14" s="64"/>
      <c r="AU14" s="216"/>
    </row>
    <row r="15" spans="1:51" ht="99" customHeight="1" x14ac:dyDescent="0.35">
      <c r="A15" s="302"/>
      <c r="B15" s="218"/>
      <c r="C15" s="217"/>
      <c r="D15" s="217"/>
      <c r="E15" s="217"/>
      <c r="F15" s="218"/>
      <c r="G15" s="151"/>
      <c r="H15" s="151"/>
      <c r="I15" s="151"/>
      <c r="J15" s="151"/>
      <c r="K15" s="151"/>
      <c r="L15" s="154"/>
      <c r="M15" s="79"/>
      <c r="N15" s="79"/>
      <c r="O15" s="79"/>
      <c r="P15" s="79"/>
      <c r="Q15" s="79"/>
      <c r="R15" s="79"/>
      <c r="S15" s="79">
        <f>+O15+P15+Q15+R15</f>
        <v>0</v>
      </c>
      <c r="T15" s="62"/>
      <c r="U15" s="79"/>
      <c r="V15" s="210" t="s">
        <v>375</v>
      </c>
      <c r="W15" s="211"/>
      <c r="X15" s="211"/>
      <c r="Y15" s="211"/>
      <c r="Z15" s="211"/>
      <c r="AA15" s="211"/>
      <c r="AB15" s="211"/>
      <c r="AC15" s="211"/>
      <c r="AD15" s="211"/>
      <c r="AE15" s="212"/>
      <c r="AF15" s="152">
        <f>+AVERAGE(AF12:AF14)</f>
        <v>0.66666666666666663</v>
      </c>
      <c r="AG15" s="153"/>
      <c r="AH15" s="153"/>
      <c r="AI15" s="153"/>
      <c r="AJ15" s="153"/>
      <c r="AK15" s="153"/>
      <c r="AL15" s="158"/>
      <c r="AM15" s="111"/>
      <c r="AN15" s="102"/>
      <c r="AO15" s="125"/>
      <c r="AP15" s="126"/>
      <c r="AQ15" s="102"/>
      <c r="AR15" s="107"/>
      <c r="AS15" s="64"/>
      <c r="AT15" s="64"/>
      <c r="AU15" s="216"/>
    </row>
    <row r="16" spans="1:51" ht="142.5" customHeight="1" x14ac:dyDescent="0.35">
      <c r="A16" s="302"/>
      <c r="B16" s="218"/>
      <c r="C16" s="217"/>
      <c r="D16" s="217"/>
      <c r="E16" s="217"/>
      <c r="F16" s="218"/>
      <c r="G16" s="151" t="s">
        <v>25</v>
      </c>
      <c r="H16" s="151"/>
      <c r="I16" s="151"/>
      <c r="J16" s="151" t="s">
        <v>26</v>
      </c>
      <c r="K16" s="151" t="s">
        <v>27</v>
      </c>
      <c r="L16" s="154">
        <v>3</v>
      </c>
      <c r="M16" s="154">
        <v>0</v>
      </c>
      <c r="N16" s="154">
        <v>0.33</v>
      </c>
      <c r="O16" s="154"/>
      <c r="P16" s="154">
        <v>0</v>
      </c>
      <c r="Q16" s="154">
        <v>0</v>
      </c>
      <c r="R16" s="154"/>
      <c r="S16" s="188">
        <f>+O16+P16+Q16+R16</f>
        <v>0</v>
      </c>
      <c r="T16" s="62">
        <f>+S16/N16</f>
        <v>0</v>
      </c>
      <c r="U16" s="79"/>
      <c r="V16" s="217" t="s">
        <v>274</v>
      </c>
      <c r="W16" s="217"/>
      <c r="X16" s="154" t="s">
        <v>275</v>
      </c>
      <c r="Y16" s="154" t="s">
        <v>276</v>
      </c>
      <c r="Z16" s="151"/>
      <c r="AA16" s="151"/>
      <c r="AB16" s="151">
        <v>0</v>
      </c>
      <c r="AC16" s="151"/>
      <c r="AD16" s="151"/>
      <c r="AE16" s="165">
        <f>+AA16+AB16+AC16+AD16</f>
        <v>0</v>
      </c>
      <c r="AF16" s="62">
        <v>0</v>
      </c>
      <c r="AG16" s="314"/>
      <c r="AH16" s="314"/>
      <c r="AI16" s="11" t="s">
        <v>173</v>
      </c>
      <c r="AJ16" s="11"/>
      <c r="AK16" s="11"/>
      <c r="AL16" s="11" t="s">
        <v>165</v>
      </c>
      <c r="AM16" s="4" t="s">
        <v>185</v>
      </c>
      <c r="AN16" s="24">
        <v>700000000</v>
      </c>
      <c r="AO16" s="236" t="s">
        <v>219</v>
      </c>
      <c r="AP16" s="236" t="s">
        <v>220</v>
      </c>
      <c r="AQ16" s="192">
        <v>558073333.66999996</v>
      </c>
      <c r="AR16" s="197">
        <f>+AQ16/AN16</f>
        <v>0.79724761952857137</v>
      </c>
      <c r="AS16" s="64"/>
      <c r="AT16" s="64"/>
      <c r="AU16" s="216"/>
    </row>
    <row r="17" spans="1:47" ht="99" customHeight="1" x14ac:dyDescent="0.35">
      <c r="A17" s="302"/>
      <c r="B17" s="218"/>
      <c r="C17" s="217"/>
      <c r="D17" s="217"/>
      <c r="E17" s="217"/>
      <c r="F17" s="218"/>
      <c r="G17" s="217" t="s">
        <v>28</v>
      </c>
      <c r="H17" s="151"/>
      <c r="I17" s="151"/>
      <c r="J17" s="217" t="s">
        <v>29</v>
      </c>
      <c r="K17" s="217" t="s">
        <v>30</v>
      </c>
      <c r="L17" s="230">
        <v>1</v>
      </c>
      <c r="M17" s="230">
        <v>1</v>
      </c>
      <c r="N17" s="230">
        <v>1</v>
      </c>
      <c r="O17" s="203"/>
      <c r="P17" s="230">
        <v>1</v>
      </c>
      <c r="Q17" s="203">
        <v>1</v>
      </c>
      <c r="R17" s="203"/>
      <c r="S17" s="230">
        <f>+Q17</f>
        <v>1</v>
      </c>
      <c r="T17" s="219">
        <v>1</v>
      </c>
      <c r="U17" s="219">
        <v>1</v>
      </c>
      <c r="V17" s="217"/>
      <c r="W17" s="217"/>
      <c r="X17" s="230" t="s">
        <v>277</v>
      </c>
      <c r="Y17" s="230" t="s">
        <v>277</v>
      </c>
      <c r="Z17" s="217">
        <v>1</v>
      </c>
      <c r="AA17" s="304"/>
      <c r="AB17" s="217">
        <v>0</v>
      </c>
      <c r="AC17" s="304">
        <v>1</v>
      </c>
      <c r="AD17" s="304"/>
      <c r="AE17" s="217">
        <f>+AA17+AB17+AC17+AD17</f>
        <v>1</v>
      </c>
      <c r="AF17" s="308">
        <f>+Z17</f>
        <v>1</v>
      </c>
      <c r="AG17" s="314"/>
      <c r="AH17" s="314"/>
      <c r="AI17" s="11" t="s">
        <v>173</v>
      </c>
      <c r="AJ17" s="11"/>
      <c r="AK17" s="11"/>
      <c r="AL17" s="11" t="s">
        <v>165</v>
      </c>
      <c r="AM17" s="314" t="s">
        <v>225</v>
      </c>
      <c r="AN17" s="26">
        <v>2651010407.6700001</v>
      </c>
      <c r="AO17" s="237"/>
      <c r="AP17" s="237"/>
      <c r="AQ17" s="193">
        <v>1423000000</v>
      </c>
      <c r="AR17" s="208">
        <f>+AQ17/AN17</f>
        <v>0.5367764667701509</v>
      </c>
      <c r="AS17" s="64"/>
      <c r="AT17" s="64"/>
      <c r="AU17" s="216"/>
    </row>
    <row r="18" spans="1:47" ht="8.25" customHeight="1" x14ac:dyDescent="0.35">
      <c r="A18" s="302"/>
      <c r="B18" s="218"/>
      <c r="C18" s="217"/>
      <c r="D18" s="217"/>
      <c r="E18" s="217"/>
      <c r="F18" s="218"/>
      <c r="G18" s="217"/>
      <c r="H18" s="151"/>
      <c r="I18" s="151"/>
      <c r="J18" s="217"/>
      <c r="K18" s="217"/>
      <c r="L18" s="230"/>
      <c r="M18" s="230"/>
      <c r="N18" s="230"/>
      <c r="O18" s="204"/>
      <c r="P18" s="230"/>
      <c r="Q18" s="204"/>
      <c r="R18" s="204"/>
      <c r="S18" s="230"/>
      <c r="T18" s="219"/>
      <c r="U18" s="219"/>
      <c r="V18" s="217"/>
      <c r="W18" s="217"/>
      <c r="X18" s="230"/>
      <c r="Y18" s="230"/>
      <c r="Z18" s="217"/>
      <c r="AA18" s="305"/>
      <c r="AB18" s="217"/>
      <c r="AC18" s="305"/>
      <c r="AD18" s="305"/>
      <c r="AE18" s="217"/>
      <c r="AF18" s="308"/>
      <c r="AG18" s="314"/>
      <c r="AH18" s="314"/>
      <c r="AI18" s="11" t="s">
        <v>173</v>
      </c>
      <c r="AJ18" s="11"/>
      <c r="AK18" s="11"/>
      <c r="AL18" s="11" t="s">
        <v>165</v>
      </c>
      <c r="AM18" s="314"/>
      <c r="AN18" s="26"/>
      <c r="AO18" s="237"/>
      <c r="AP18" s="237"/>
      <c r="AQ18" s="193"/>
      <c r="AR18" s="208"/>
      <c r="AS18" s="64"/>
      <c r="AT18" s="64"/>
      <c r="AU18" s="216"/>
    </row>
    <row r="19" spans="1:47" ht="15.75" customHeight="1" x14ac:dyDescent="0.35">
      <c r="A19" s="302"/>
      <c r="B19" s="218"/>
      <c r="C19" s="217"/>
      <c r="D19" s="217"/>
      <c r="E19" s="217"/>
      <c r="F19" s="218"/>
      <c r="G19" s="217"/>
      <c r="H19" s="151"/>
      <c r="I19" s="151"/>
      <c r="J19" s="217"/>
      <c r="K19" s="217"/>
      <c r="L19" s="230"/>
      <c r="M19" s="230"/>
      <c r="N19" s="230"/>
      <c r="O19" s="205"/>
      <c r="P19" s="230"/>
      <c r="Q19" s="205"/>
      <c r="R19" s="205"/>
      <c r="S19" s="230"/>
      <c r="T19" s="219"/>
      <c r="U19" s="219"/>
      <c r="V19" s="217"/>
      <c r="W19" s="217"/>
      <c r="X19" s="230"/>
      <c r="Y19" s="230"/>
      <c r="Z19" s="217"/>
      <c r="AA19" s="306"/>
      <c r="AB19" s="217"/>
      <c r="AC19" s="306"/>
      <c r="AD19" s="306"/>
      <c r="AE19" s="217"/>
      <c r="AF19" s="308"/>
      <c r="AG19" s="314"/>
      <c r="AH19" s="314"/>
      <c r="AI19" s="11" t="s">
        <v>173</v>
      </c>
      <c r="AJ19" s="11"/>
      <c r="AK19" s="11"/>
      <c r="AL19" s="11" t="s">
        <v>165</v>
      </c>
      <c r="AM19" s="314"/>
      <c r="AN19" s="25"/>
      <c r="AO19" s="238"/>
      <c r="AP19" s="238"/>
      <c r="AQ19" s="194"/>
      <c r="AR19" s="209"/>
      <c r="AS19" s="64"/>
      <c r="AT19" s="64"/>
      <c r="AU19" s="216"/>
    </row>
    <row r="20" spans="1:47" ht="54.75" customHeight="1" x14ac:dyDescent="0.35">
      <c r="A20" s="302"/>
      <c r="B20" s="218"/>
      <c r="C20" s="217"/>
      <c r="D20" s="217"/>
      <c r="E20" s="217"/>
      <c r="F20" s="218"/>
      <c r="G20" s="151"/>
      <c r="H20" s="151"/>
      <c r="I20" s="151"/>
      <c r="J20" s="151"/>
      <c r="K20" s="151"/>
      <c r="L20" s="154"/>
      <c r="M20" s="154"/>
      <c r="N20" s="154"/>
      <c r="O20" s="161"/>
      <c r="P20" s="154"/>
      <c r="Q20" s="161"/>
      <c r="R20" s="161"/>
      <c r="S20" s="154"/>
      <c r="T20" s="154"/>
      <c r="U20" s="152"/>
      <c r="V20" s="210" t="s">
        <v>375</v>
      </c>
      <c r="W20" s="211"/>
      <c r="X20" s="211"/>
      <c r="Y20" s="211"/>
      <c r="Z20" s="211"/>
      <c r="AA20" s="211"/>
      <c r="AB20" s="211"/>
      <c r="AC20" s="211"/>
      <c r="AD20" s="211"/>
      <c r="AE20" s="212"/>
      <c r="AF20" s="135">
        <f>+AVERAGE(AF16:AF19)</f>
        <v>0.5</v>
      </c>
      <c r="AG20" s="137"/>
      <c r="AH20" s="137"/>
      <c r="AI20" s="136"/>
      <c r="AJ20" s="136"/>
      <c r="AK20" s="136"/>
      <c r="AL20" s="136"/>
      <c r="AM20" s="117"/>
      <c r="AN20" s="103"/>
      <c r="AO20" s="105"/>
      <c r="AP20" s="105"/>
      <c r="AQ20" s="104"/>
      <c r="AR20" s="106"/>
      <c r="AS20" s="64"/>
      <c r="AT20" s="64"/>
      <c r="AU20" s="216"/>
    </row>
    <row r="21" spans="1:47" ht="33" customHeight="1" x14ac:dyDescent="0.35">
      <c r="A21" s="302"/>
      <c r="B21" s="218"/>
      <c r="C21" s="217"/>
      <c r="D21" s="217"/>
      <c r="E21" s="217"/>
      <c r="F21" s="218"/>
      <c r="G21" s="217" t="s">
        <v>36</v>
      </c>
      <c r="H21" s="141"/>
      <c r="I21" s="141"/>
      <c r="J21" s="217" t="s">
        <v>37</v>
      </c>
      <c r="K21" s="217" t="s">
        <v>38</v>
      </c>
      <c r="L21" s="230">
        <v>1</v>
      </c>
      <c r="M21" s="294">
        <v>0.21</v>
      </c>
      <c r="N21" s="295">
        <v>0.33</v>
      </c>
      <c r="O21" s="232"/>
      <c r="P21" s="295">
        <v>0</v>
      </c>
      <c r="Q21" s="232">
        <v>0.2</v>
      </c>
      <c r="R21" s="232">
        <v>0.05</v>
      </c>
      <c r="S21" s="294">
        <f>+O21+P21+Q21+R21</f>
        <v>0.25</v>
      </c>
      <c r="T21" s="219">
        <f>+S21/N21</f>
        <v>0.75757575757575757</v>
      </c>
      <c r="U21" s="219">
        <f>+(M21+S21)/L21</f>
        <v>0.45999999999999996</v>
      </c>
      <c r="V21" s="217" t="s">
        <v>39</v>
      </c>
      <c r="W21" s="313">
        <v>2020130010300</v>
      </c>
      <c r="X21" s="217" t="s">
        <v>286</v>
      </c>
      <c r="Y21" s="138" t="s">
        <v>287</v>
      </c>
      <c r="Z21" s="6">
        <v>1</v>
      </c>
      <c r="AA21" s="138"/>
      <c r="AB21" s="6">
        <v>0</v>
      </c>
      <c r="AC21" s="138">
        <v>0.02</v>
      </c>
      <c r="AD21" s="138">
        <v>0.05</v>
      </c>
      <c r="AE21" s="179">
        <f t="shared" ref="AE21:AE26" si="2">+AA21+AB21+AC21+AD21</f>
        <v>7.0000000000000007E-2</v>
      </c>
      <c r="AF21" s="180">
        <f t="shared" ref="AF21:AF26" si="3">+AE21/Z21</f>
        <v>7.0000000000000007E-2</v>
      </c>
      <c r="AG21" s="314" t="s">
        <v>295</v>
      </c>
      <c r="AH21" s="314" t="s">
        <v>191</v>
      </c>
      <c r="AI21" s="11" t="s">
        <v>10</v>
      </c>
      <c r="AJ21" s="11"/>
      <c r="AK21" s="136"/>
      <c r="AL21" s="136" t="s">
        <v>293</v>
      </c>
      <c r="AM21" s="216" t="s">
        <v>294</v>
      </c>
      <c r="AN21" s="253">
        <v>600000000</v>
      </c>
      <c r="AO21" s="248" t="s">
        <v>313</v>
      </c>
      <c r="AP21" s="248" t="s">
        <v>218</v>
      </c>
      <c r="AQ21" s="253">
        <v>177466667</v>
      </c>
      <c r="AR21" s="243">
        <f>+AQ21/AN21</f>
        <v>0.29577777833333335</v>
      </c>
      <c r="AS21" s="64"/>
      <c r="AT21" s="64"/>
      <c r="AU21" s="216"/>
    </row>
    <row r="22" spans="1:47" ht="33" customHeight="1" x14ac:dyDescent="0.35">
      <c r="A22" s="302"/>
      <c r="B22" s="218"/>
      <c r="C22" s="217"/>
      <c r="D22" s="217"/>
      <c r="E22" s="217"/>
      <c r="F22" s="218"/>
      <c r="G22" s="217"/>
      <c r="H22" s="141"/>
      <c r="I22" s="141"/>
      <c r="J22" s="217"/>
      <c r="K22" s="217"/>
      <c r="L22" s="230"/>
      <c r="M22" s="295"/>
      <c r="N22" s="295"/>
      <c r="O22" s="233"/>
      <c r="P22" s="295"/>
      <c r="Q22" s="233"/>
      <c r="R22" s="233"/>
      <c r="S22" s="295"/>
      <c r="T22" s="219"/>
      <c r="U22" s="219"/>
      <c r="V22" s="217"/>
      <c r="W22" s="313"/>
      <c r="X22" s="217"/>
      <c r="Y22" s="138" t="s">
        <v>288</v>
      </c>
      <c r="Z22" s="6">
        <v>1</v>
      </c>
      <c r="AA22" s="138"/>
      <c r="AB22" s="6"/>
      <c r="AC22" s="138">
        <v>0.02</v>
      </c>
      <c r="AD22" s="138">
        <v>0.05</v>
      </c>
      <c r="AE22" s="179">
        <f t="shared" si="2"/>
        <v>7.0000000000000007E-2</v>
      </c>
      <c r="AF22" s="180">
        <f t="shared" si="3"/>
        <v>7.0000000000000007E-2</v>
      </c>
      <c r="AG22" s="314"/>
      <c r="AH22" s="314"/>
      <c r="AI22" s="11" t="s">
        <v>10</v>
      </c>
      <c r="AJ22" s="11"/>
      <c r="AK22" s="136"/>
      <c r="AL22" s="136" t="s">
        <v>293</v>
      </c>
      <c r="AM22" s="216"/>
      <c r="AN22" s="254"/>
      <c r="AO22" s="248"/>
      <c r="AP22" s="248"/>
      <c r="AQ22" s="254"/>
      <c r="AR22" s="244"/>
      <c r="AS22" s="64"/>
      <c r="AT22" s="64"/>
      <c r="AU22" s="216"/>
    </row>
    <row r="23" spans="1:47" ht="60" customHeight="1" x14ac:dyDescent="0.35">
      <c r="A23" s="302"/>
      <c r="B23" s="218"/>
      <c r="C23" s="217"/>
      <c r="D23" s="217"/>
      <c r="E23" s="217"/>
      <c r="F23" s="218"/>
      <c r="G23" s="217"/>
      <c r="H23" s="141"/>
      <c r="I23" s="141"/>
      <c r="J23" s="217"/>
      <c r="K23" s="217"/>
      <c r="L23" s="230"/>
      <c r="M23" s="295"/>
      <c r="N23" s="295"/>
      <c r="O23" s="233"/>
      <c r="P23" s="295"/>
      <c r="Q23" s="233"/>
      <c r="R23" s="233"/>
      <c r="S23" s="295"/>
      <c r="T23" s="219"/>
      <c r="U23" s="219"/>
      <c r="V23" s="217"/>
      <c r="W23" s="313"/>
      <c r="X23" s="217"/>
      <c r="Y23" s="138" t="s">
        <v>289</v>
      </c>
      <c r="Z23" s="6">
        <v>1</v>
      </c>
      <c r="AA23" s="138"/>
      <c r="AB23" s="6"/>
      <c r="AC23" s="138">
        <v>0.02</v>
      </c>
      <c r="AD23" s="138">
        <v>0.05</v>
      </c>
      <c r="AE23" s="179">
        <f t="shared" si="2"/>
        <v>7.0000000000000007E-2</v>
      </c>
      <c r="AF23" s="180">
        <f t="shared" si="3"/>
        <v>7.0000000000000007E-2</v>
      </c>
      <c r="AG23" s="314"/>
      <c r="AH23" s="314"/>
      <c r="AI23" s="11" t="s">
        <v>10</v>
      </c>
      <c r="AJ23" s="11"/>
      <c r="AK23" s="136"/>
      <c r="AL23" s="136" t="s">
        <v>293</v>
      </c>
      <c r="AM23" s="216"/>
      <c r="AN23" s="254"/>
      <c r="AO23" s="248"/>
      <c r="AP23" s="248"/>
      <c r="AQ23" s="254"/>
      <c r="AR23" s="244"/>
      <c r="AS23" s="64"/>
      <c r="AT23" s="64"/>
      <c r="AU23" s="216"/>
    </row>
    <row r="24" spans="1:47" ht="27.75" customHeight="1" x14ac:dyDescent="0.35">
      <c r="A24" s="302"/>
      <c r="B24" s="218"/>
      <c r="C24" s="217"/>
      <c r="D24" s="217"/>
      <c r="E24" s="217"/>
      <c r="F24" s="218"/>
      <c r="G24" s="217"/>
      <c r="H24" s="141"/>
      <c r="I24" s="141"/>
      <c r="J24" s="217"/>
      <c r="K24" s="217"/>
      <c r="L24" s="230"/>
      <c r="M24" s="295"/>
      <c r="N24" s="295"/>
      <c r="O24" s="233"/>
      <c r="P24" s="295"/>
      <c r="Q24" s="233"/>
      <c r="R24" s="233"/>
      <c r="S24" s="295"/>
      <c r="T24" s="219"/>
      <c r="U24" s="219"/>
      <c r="V24" s="217"/>
      <c r="W24" s="313"/>
      <c r="X24" s="217"/>
      <c r="Y24" s="138" t="s">
        <v>290</v>
      </c>
      <c r="Z24" s="6">
        <v>1</v>
      </c>
      <c r="AA24" s="138"/>
      <c r="AB24" s="6"/>
      <c r="AC24" s="138">
        <v>0.02</v>
      </c>
      <c r="AD24" s="138">
        <v>0.05</v>
      </c>
      <c r="AE24" s="179">
        <f t="shared" si="2"/>
        <v>7.0000000000000007E-2</v>
      </c>
      <c r="AF24" s="180">
        <f t="shared" si="3"/>
        <v>7.0000000000000007E-2</v>
      </c>
      <c r="AG24" s="314"/>
      <c r="AH24" s="314"/>
      <c r="AI24" s="11" t="s">
        <v>10</v>
      </c>
      <c r="AJ24" s="11"/>
      <c r="AK24" s="136"/>
      <c r="AL24" s="136" t="s">
        <v>293</v>
      </c>
      <c r="AM24" s="216"/>
      <c r="AN24" s="254"/>
      <c r="AO24" s="248"/>
      <c r="AP24" s="248"/>
      <c r="AQ24" s="254"/>
      <c r="AR24" s="244"/>
      <c r="AS24" s="64"/>
      <c r="AT24" s="64"/>
      <c r="AU24" s="216"/>
    </row>
    <row r="25" spans="1:47" ht="15.75" customHeight="1" x14ac:dyDescent="0.35">
      <c r="A25" s="302"/>
      <c r="B25" s="218"/>
      <c r="C25" s="217"/>
      <c r="D25" s="217"/>
      <c r="E25" s="217"/>
      <c r="F25" s="218"/>
      <c r="G25" s="217"/>
      <c r="H25" s="141"/>
      <c r="I25" s="141"/>
      <c r="J25" s="217"/>
      <c r="K25" s="217"/>
      <c r="L25" s="230"/>
      <c r="M25" s="295"/>
      <c r="N25" s="295"/>
      <c r="O25" s="233"/>
      <c r="P25" s="295"/>
      <c r="Q25" s="233"/>
      <c r="R25" s="233"/>
      <c r="S25" s="295"/>
      <c r="T25" s="219"/>
      <c r="U25" s="219"/>
      <c r="V25" s="217"/>
      <c r="W25" s="313"/>
      <c r="X25" s="217"/>
      <c r="Y25" s="138" t="s">
        <v>291</v>
      </c>
      <c r="Z25" s="6">
        <v>1</v>
      </c>
      <c r="AA25" s="138"/>
      <c r="AB25" s="6"/>
      <c r="AC25" s="138">
        <v>0.02</v>
      </c>
      <c r="AD25" s="138">
        <v>0.05</v>
      </c>
      <c r="AE25" s="179">
        <f t="shared" si="2"/>
        <v>7.0000000000000007E-2</v>
      </c>
      <c r="AF25" s="180">
        <f t="shared" si="3"/>
        <v>7.0000000000000007E-2</v>
      </c>
      <c r="AG25" s="314"/>
      <c r="AH25" s="314"/>
      <c r="AI25" s="11" t="s">
        <v>10</v>
      </c>
      <c r="AJ25" s="11"/>
      <c r="AK25" s="136"/>
      <c r="AL25" s="136" t="s">
        <v>293</v>
      </c>
      <c r="AM25" s="216"/>
      <c r="AN25" s="254"/>
      <c r="AO25" s="248"/>
      <c r="AP25" s="248"/>
      <c r="AQ25" s="254"/>
      <c r="AR25" s="244"/>
      <c r="AS25" s="64"/>
      <c r="AT25" s="64"/>
      <c r="AU25" s="216"/>
    </row>
    <row r="26" spans="1:47" ht="62.25" customHeight="1" x14ac:dyDescent="0.35">
      <c r="A26" s="302"/>
      <c r="B26" s="218"/>
      <c r="C26" s="217"/>
      <c r="D26" s="217"/>
      <c r="E26" s="217"/>
      <c r="F26" s="218"/>
      <c r="G26" s="217"/>
      <c r="H26" s="141"/>
      <c r="I26" s="141"/>
      <c r="J26" s="217"/>
      <c r="K26" s="217"/>
      <c r="L26" s="230"/>
      <c r="M26" s="295"/>
      <c r="N26" s="295"/>
      <c r="O26" s="234"/>
      <c r="P26" s="295"/>
      <c r="Q26" s="234"/>
      <c r="R26" s="234"/>
      <c r="S26" s="295"/>
      <c r="T26" s="219"/>
      <c r="U26" s="219"/>
      <c r="V26" s="217"/>
      <c r="W26" s="313"/>
      <c r="X26" s="217"/>
      <c r="Y26" s="141" t="s">
        <v>292</v>
      </c>
      <c r="Z26" s="6">
        <v>1</v>
      </c>
      <c r="AA26" s="138"/>
      <c r="AB26" s="6"/>
      <c r="AC26" s="138">
        <v>0.02</v>
      </c>
      <c r="AD26" s="138">
        <v>0.05</v>
      </c>
      <c r="AE26" s="179">
        <f t="shared" si="2"/>
        <v>7.0000000000000007E-2</v>
      </c>
      <c r="AF26" s="180">
        <f t="shared" si="3"/>
        <v>7.0000000000000007E-2</v>
      </c>
      <c r="AG26" s="314"/>
      <c r="AH26" s="314"/>
      <c r="AI26" s="11" t="s">
        <v>10</v>
      </c>
      <c r="AJ26" s="11"/>
      <c r="AK26" s="136"/>
      <c r="AL26" s="136" t="s">
        <v>293</v>
      </c>
      <c r="AM26" s="216"/>
      <c r="AN26" s="255"/>
      <c r="AO26" s="248"/>
      <c r="AP26" s="248"/>
      <c r="AQ26" s="255"/>
      <c r="AR26" s="245"/>
      <c r="AS26" s="64"/>
      <c r="AT26" s="64"/>
      <c r="AU26" s="216"/>
    </row>
    <row r="27" spans="1:47" ht="62.25" customHeight="1" x14ac:dyDescent="0.35">
      <c r="A27" s="302"/>
      <c r="B27" s="218"/>
      <c r="C27" s="151"/>
      <c r="D27" s="151"/>
      <c r="E27" s="151"/>
      <c r="F27" s="210" t="s">
        <v>361</v>
      </c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2"/>
      <c r="T27" s="152">
        <f>+AVERAGE(T12:T26)</f>
        <v>0.4728718216649252</v>
      </c>
      <c r="U27" s="152">
        <f>+AVERAGE(U12:U26)</f>
        <v>0.71099999999999997</v>
      </c>
      <c r="V27" s="210" t="s">
        <v>375</v>
      </c>
      <c r="W27" s="211"/>
      <c r="X27" s="211"/>
      <c r="Y27" s="211"/>
      <c r="Z27" s="211"/>
      <c r="AA27" s="211"/>
      <c r="AB27" s="211"/>
      <c r="AC27" s="211"/>
      <c r="AD27" s="211"/>
      <c r="AE27" s="212"/>
      <c r="AF27" s="152">
        <f>+AVERAGE(AF21:AF26)</f>
        <v>7.0000000000000007E-2</v>
      </c>
      <c r="AG27" s="162"/>
      <c r="AH27" s="162"/>
      <c r="AI27" s="11"/>
      <c r="AJ27" s="11"/>
      <c r="AK27" s="11"/>
      <c r="AL27" s="11"/>
      <c r="AM27" s="86"/>
      <c r="AN27" s="87"/>
      <c r="AO27" s="88"/>
      <c r="AP27" s="89"/>
      <c r="AQ27" s="37"/>
      <c r="AR27" s="48"/>
      <c r="AS27" s="64"/>
      <c r="AT27" s="64"/>
      <c r="AU27" s="216"/>
    </row>
    <row r="28" spans="1:47" ht="28" x14ac:dyDescent="0.35">
      <c r="A28" s="302"/>
      <c r="B28" s="218"/>
      <c r="C28" s="217" t="s">
        <v>17</v>
      </c>
      <c r="D28" s="217">
        <v>0.5</v>
      </c>
      <c r="E28" s="217" t="s">
        <v>18</v>
      </c>
      <c r="F28" s="218" t="s">
        <v>40</v>
      </c>
      <c r="G28" s="218" t="s">
        <v>41</v>
      </c>
      <c r="H28" s="144"/>
      <c r="I28" s="144"/>
      <c r="J28" s="307">
        <v>0.6</v>
      </c>
      <c r="K28" s="307" t="s">
        <v>42</v>
      </c>
      <c r="L28" s="230">
        <v>1</v>
      </c>
      <c r="M28" s="296">
        <v>0.42799999999999999</v>
      </c>
      <c r="N28" s="219">
        <v>0.13200000000000001</v>
      </c>
      <c r="O28" s="228"/>
      <c r="P28" s="296">
        <v>1.7999999999999999E-2</v>
      </c>
      <c r="Q28" s="296">
        <v>1.7999999999999999E-2</v>
      </c>
      <c r="R28" s="310">
        <v>1.7999999999999999E-2</v>
      </c>
      <c r="S28" s="296">
        <f>+O28+P28+Q28+R28</f>
        <v>5.3999999999999992E-2</v>
      </c>
      <c r="T28" s="296">
        <f>+S28/N28</f>
        <v>0.40909090909090901</v>
      </c>
      <c r="U28" s="296">
        <f>+(M28+S28)/L28</f>
        <v>0.48199999999999998</v>
      </c>
      <c r="V28" s="217" t="s">
        <v>278</v>
      </c>
      <c r="W28" s="217" t="s">
        <v>269</v>
      </c>
      <c r="X28" s="217" t="s">
        <v>271</v>
      </c>
      <c r="Y28" s="141" t="s">
        <v>279</v>
      </c>
      <c r="Z28" s="175">
        <v>1300</v>
      </c>
      <c r="AA28" s="175"/>
      <c r="AB28" s="175">
        <v>861</v>
      </c>
      <c r="AC28" s="175">
        <v>210</v>
      </c>
      <c r="AD28" s="175">
        <f>478+249</f>
        <v>727</v>
      </c>
      <c r="AE28" s="179">
        <f>+AA28+AB28+AC28+AD28</f>
        <v>1798</v>
      </c>
      <c r="AF28" s="176">
        <f>+AE28/Z28</f>
        <v>1.3830769230769231</v>
      </c>
      <c r="AG28" s="317" t="s">
        <v>295</v>
      </c>
      <c r="AH28" s="317" t="s">
        <v>191</v>
      </c>
      <c r="AI28" s="10" t="s">
        <v>254</v>
      </c>
      <c r="AJ28" s="10"/>
      <c r="AK28" s="10"/>
      <c r="AL28" s="10" t="s">
        <v>253</v>
      </c>
      <c r="AM28" s="267" t="s">
        <v>185</v>
      </c>
      <c r="AN28" s="256">
        <v>460933323</v>
      </c>
      <c r="AO28" s="260" t="s">
        <v>221</v>
      </c>
      <c r="AP28" s="258" t="s">
        <v>314</v>
      </c>
      <c r="AQ28" s="236">
        <v>119162627.28</v>
      </c>
      <c r="AR28" s="240">
        <f>+AQ28/AN28</f>
        <v>0.25852465277282632</v>
      </c>
      <c r="AS28" s="252" t="s">
        <v>325</v>
      </c>
      <c r="AT28" s="65"/>
      <c r="AU28" s="216"/>
    </row>
    <row r="29" spans="1:47" ht="30" customHeight="1" x14ac:dyDescent="0.35">
      <c r="A29" s="302"/>
      <c r="B29" s="218"/>
      <c r="C29" s="217"/>
      <c r="D29" s="217"/>
      <c r="E29" s="217"/>
      <c r="F29" s="218"/>
      <c r="G29" s="218"/>
      <c r="H29" s="144"/>
      <c r="I29" s="144"/>
      <c r="J29" s="307"/>
      <c r="K29" s="307"/>
      <c r="L29" s="230"/>
      <c r="M29" s="297"/>
      <c r="N29" s="219"/>
      <c r="O29" s="298"/>
      <c r="P29" s="297"/>
      <c r="Q29" s="297"/>
      <c r="R29" s="311"/>
      <c r="S29" s="297"/>
      <c r="T29" s="297"/>
      <c r="U29" s="297"/>
      <c r="V29" s="217"/>
      <c r="W29" s="217"/>
      <c r="X29" s="217"/>
      <c r="Y29" s="141" t="s">
        <v>280</v>
      </c>
      <c r="Z29" s="175">
        <v>13</v>
      </c>
      <c r="AA29" s="175"/>
      <c r="AB29" s="175">
        <v>4</v>
      </c>
      <c r="AC29" s="175">
        <v>7</v>
      </c>
      <c r="AD29" s="175">
        <f>5+3</f>
        <v>8</v>
      </c>
      <c r="AE29" s="179">
        <f>+AA29+AB29+AC29+AD29</f>
        <v>19</v>
      </c>
      <c r="AF29" s="176">
        <f>+AE29/Z29</f>
        <v>1.4615384615384615</v>
      </c>
      <c r="AG29" s="317"/>
      <c r="AH29" s="317"/>
      <c r="AI29" s="10" t="s">
        <v>254</v>
      </c>
      <c r="AJ29" s="10"/>
      <c r="AK29" s="10"/>
      <c r="AL29" s="10" t="s">
        <v>253</v>
      </c>
      <c r="AM29" s="268"/>
      <c r="AN29" s="257"/>
      <c r="AO29" s="261"/>
      <c r="AP29" s="259"/>
      <c r="AQ29" s="238"/>
      <c r="AR29" s="241"/>
      <c r="AS29" s="252"/>
      <c r="AT29" s="65"/>
      <c r="AU29" s="216"/>
    </row>
    <row r="30" spans="1:47" ht="28" x14ac:dyDescent="0.35">
      <c r="A30" s="302"/>
      <c r="B30" s="218"/>
      <c r="C30" s="217"/>
      <c r="D30" s="217"/>
      <c r="E30" s="217"/>
      <c r="F30" s="218"/>
      <c r="G30" s="218"/>
      <c r="H30" s="144"/>
      <c r="I30" s="144"/>
      <c r="J30" s="307"/>
      <c r="K30" s="307"/>
      <c r="L30" s="230"/>
      <c r="M30" s="297"/>
      <c r="N30" s="219"/>
      <c r="O30" s="298"/>
      <c r="P30" s="297"/>
      <c r="Q30" s="297"/>
      <c r="R30" s="311"/>
      <c r="S30" s="297"/>
      <c r="T30" s="297"/>
      <c r="U30" s="297"/>
      <c r="V30" s="217"/>
      <c r="W30" s="217"/>
      <c r="X30" s="217"/>
      <c r="Y30" s="141" t="s">
        <v>281</v>
      </c>
      <c r="Z30" s="175">
        <v>1</v>
      </c>
      <c r="AA30" s="175"/>
      <c r="AB30" s="175">
        <v>0</v>
      </c>
      <c r="AC30" s="175">
        <v>0.25</v>
      </c>
      <c r="AD30" s="175">
        <v>0.75</v>
      </c>
      <c r="AE30" s="179">
        <f>+AA30+AB30+AC30+AD30</f>
        <v>1</v>
      </c>
      <c r="AF30" s="176">
        <f>+AE30/Z30</f>
        <v>1</v>
      </c>
      <c r="AG30" s="317"/>
      <c r="AH30" s="317"/>
      <c r="AI30" s="10" t="s">
        <v>254</v>
      </c>
      <c r="AJ30" s="10"/>
      <c r="AK30" s="10"/>
      <c r="AL30" s="10" t="s">
        <v>253</v>
      </c>
      <c r="AM30" s="253" t="s">
        <v>225</v>
      </c>
      <c r="AN30" s="262">
        <v>631000000</v>
      </c>
      <c r="AO30" s="236" t="s">
        <v>251</v>
      </c>
      <c r="AP30" s="264" t="s">
        <v>252</v>
      </c>
      <c r="AQ30" s="236">
        <v>557853330.34000003</v>
      </c>
      <c r="AR30" s="240">
        <f>+AQ30/AN30</f>
        <v>0.88407817803486533</v>
      </c>
      <c r="AS30" s="252"/>
      <c r="AT30" s="65"/>
      <c r="AU30" s="216"/>
    </row>
    <row r="31" spans="1:47" ht="15.75" customHeight="1" x14ac:dyDescent="0.35">
      <c r="A31" s="302"/>
      <c r="B31" s="218"/>
      <c r="C31" s="217"/>
      <c r="D31" s="217"/>
      <c r="E31" s="217"/>
      <c r="F31" s="218"/>
      <c r="G31" s="218"/>
      <c r="H31" s="144"/>
      <c r="I31" s="144"/>
      <c r="J31" s="307"/>
      <c r="K31" s="307"/>
      <c r="L31" s="230"/>
      <c r="M31" s="297"/>
      <c r="N31" s="219"/>
      <c r="O31" s="298"/>
      <c r="P31" s="297"/>
      <c r="Q31" s="297"/>
      <c r="R31" s="311"/>
      <c r="S31" s="297"/>
      <c r="T31" s="297"/>
      <c r="U31" s="297"/>
      <c r="V31" s="217"/>
      <c r="W31" s="217"/>
      <c r="X31" s="217"/>
      <c r="Y31" s="141" t="s">
        <v>282</v>
      </c>
      <c r="Z31" s="175">
        <v>0.3</v>
      </c>
      <c r="AA31" s="175"/>
      <c r="AB31" s="175">
        <v>0</v>
      </c>
      <c r="AC31" s="175">
        <v>0</v>
      </c>
      <c r="AD31" s="175"/>
      <c r="AE31" s="179">
        <f>+AA31+AB31+AC31+AD31</f>
        <v>0</v>
      </c>
      <c r="AF31" s="176">
        <f>+AE31/Z31</f>
        <v>0</v>
      </c>
      <c r="AG31" s="317"/>
      <c r="AH31" s="317"/>
      <c r="AI31" s="10" t="s">
        <v>254</v>
      </c>
      <c r="AJ31" s="10"/>
      <c r="AK31" s="10"/>
      <c r="AL31" s="10" t="s">
        <v>253</v>
      </c>
      <c r="AM31" s="254"/>
      <c r="AN31" s="263"/>
      <c r="AO31" s="237"/>
      <c r="AP31" s="265"/>
      <c r="AQ31" s="237"/>
      <c r="AR31" s="242"/>
      <c r="AS31" s="252"/>
      <c r="AT31" s="65"/>
      <c r="AU31" s="216"/>
    </row>
    <row r="32" spans="1:47" ht="28" x14ac:dyDescent="0.35">
      <c r="A32" s="302"/>
      <c r="B32" s="218"/>
      <c r="C32" s="217"/>
      <c r="D32" s="217"/>
      <c r="E32" s="217"/>
      <c r="F32" s="218"/>
      <c r="G32" s="218"/>
      <c r="H32" s="144"/>
      <c r="I32" s="144"/>
      <c r="J32" s="307"/>
      <c r="K32" s="307"/>
      <c r="L32" s="230"/>
      <c r="M32" s="297"/>
      <c r="N32" s="219"/>
      <c r="O32" s="229"/>
      <c r="P32" s="297"/>
      <c r="Q32" s="297"/>
      <c r="R32" s="312"/>
      <c r="S32" s="297"/>
      <c r="T32" s="297"/>
      <c r="U32" s="297"/>
      <c r="V32" s="217"/>
      <c r="W32" s="217"/>
      <c r="X32" s="217"/>
      <c r="Y32" s="141" t="s">
        <v>283</v>
      </c>
      <c r="Z32" s="175">
        <v>0.6</v>
      </c>
      <c r="AA32" s="175"/>
      <c r="AB32" s="175">
        <v>40</v>
      </c>
      <c r="AC32" s="175">
        <v>110</v>
      </c>
      <c r="AD32" s="175">
        <v>0</v>
      </c>
      <c r="AE32" s="179">
        <f>+AA32+AB32+AC32+AD32</f>
        <v>150</v>
      </c>
      <c r="AF32" s="176">
        <v>1</v>
      </c>
      <c r="AG32" s="317"/>
      <c r="AH32" s="317"/>
      <c r="AI32" s="10" t="s">
        <v>254</v>
      </c>
      <c r="AJ32" s="10"/>
      <c r="AK32" s="10"/>
      <c r="AL32" s="10" t="s">
        <v>253</v>
      </c>
      <c r="AM32" s="255"/>
      <c r="AN32" s="263"/>
      <c r="AO32" s="238"/>
      <c r="AP32" s="266"/>
      <c r="AQ32" s="238"/>
      <c r="AR32" s="241"/>
      <c r="AS32" s="252"/>
      <c r="AT32" s="65"/>
      <c r="AU32" s="216"/>
    </row>
    <row r="33" spans="1:49" ht="31" x14ac:dyDescent="0.35">
      <c r="A33" s="302"/>
      <c r="B33" s="218"/>
      <c r="C33" s="217"/>
      <c r="D33" s="217"/>
      <c r="E33" s="217"/>
      <c r="F33" s="210" t="s">
        <v>363</v>
      </c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2"/>
      <c r="T33" s="166">
        <f>+T28</f>
        <v>0.40909090909090901</v>
      </c>
      <c r="U33" s="166">
        <f>+U28</f>
        <v>0.48199999999999998</v>
      </c>
      <c r="V33" s="210" t="s">
        <v>375</v>
      </c>
      <c r="W33" s="211"/>
      <c r="X33" s="211"/>
      <c r="Y33" s="211"/>
      <c r="Z33" s="211"/>
      <c r="AA33" s="211"/>
      <c r="AB33" s="211"/>
      <c r="AC33" s="211"/>
      <c r="AD33" s="211"/>
      <c r="AE33" s="212"/>
      <c r="AF33" s="176">
        <f>+AVERAGE(AF28:AF32)</f>
        <v>0.96892307692307678</v>
      </c>
      <c r="AG33" s="177"/>
      <c r="AH33" s="177"/>
      <c r="AI33" s="10"/>
      <c r="AJ33" s="10"/>
      <c r="AK33" s="10"/>
      <c r="AL33" s="10"/>
      <c r="AM33" s="156"/>
      <c r="AN33" s="157"/>
      <c r="AO33" s="39"/>
      <c r="AP33" s="50"/>
      <c r="AQ33" s="39"/>
      <c r="AR33" s="40"/>
      <c r="AS33" s="65"/>
      <c r="AT33" s="65"/>
      <c r="AU33" s="216"/>
    </row>
    <row r="34" spans="1:49" ht="15" customHeight="1" x14ac:dyDescent="0.35">
      <c r="A34" s="302"/>
      <c r="B34" s="218"/>
      <c r="C34" s="217"/>
      <c r="D34" s="217"/>
      <c r="E34" s="217"/>
      <c r="F34" s="218" t="s">
        <v>43</v>
      </c>
      <c r="G34" s="217" t="s">
        <v>44</v>
      </c>
      <c r="H34" s="151"/>
      <c r="I34" s="151"/>
      <c r="J34" s="299" t="s">
        <v>45</v>
      </c>
      <c r="K34" s="217" t="s">
        <v>46</v>
      </c>
      <c r="L34" s="230">
        <v>1</v>
      </c>
      <c r="M34" s="230">
        <v>0</v>
      </c>
      <c r="N34" s="230">
        <v>0.33</v>
      </c>
      <c r="O34" s="203"/>
      <c r="P34" s="230">
        <v>0</v>
      </c>
      <c r="Q34" s="203">
        <v>0</v>
      </c>
      <c r="R34" s="221">
        <v>0.15</v>
      </c>
      <c r="S34" s="231">
        <f>+O34+P34+Q34+R34</f>
        <v>0.15</v>
      </c>
      <c r="T34" s="219">
        <f>+S34/N34</f>
        <v>0.45454545454545453</v>
      </c>
      <c r="U34" s="219">
        <f>+(M34+S34)/L34</f>
        <v>0.15</v>
      </c>
      <c r="V34" s="230" t="s">
        <v>47</v>
      </c>
      <c r="W34" s="230"/>
      <c r="X34" s="230"/>
      <c r="Y34" s="230" t="s">
        <v>167</v>
      </c>
      <c r="Z34" s="230">
        <v>1</v>
      </c>
      <c r="AA34" s="203"/>
      <c r="AB34" s="230">
        <v>0</v>
      </c>
      <c r="AC34" s="203"/>
      <c r="AD34" s="221">
        <v>0.15</v>
      </c>
      <c r="AE34" s="219">
        <f>+AA34+AB34+AC34+AD34</f>
        <v>0.15</v>
      </c>
      <c r="AF34" s="219">
        <f>+AE34/Z34</f>
        <v>0.15</v>
      </c>
      <c r="AG34" s="220" t="s">
        <v>295</v>
      </c>
      <c r="AH34" s="220" t="s">
        <v>166</v>
      </c>
      <c r="AI34" s="10" t="s">
        <v>164</v>
      </c>
      <c r="AJ34" s="10"/>
      <c r="AK34" s="10"/>
      <c r="AL34" s="10" t="s">
        <v>161</v>
      </c>
      <c r="AM34" s="220" t="s">
        <v>185</v>
      </c>
      <c r="AN34" s="220">
        <v>301100000</v>
      </c>
      <c r="AO34" s="246" t="s">
        <v>315</v>
      </c>
      <c r="AP34" s="247" t="s">
        <v>316</v>
      </c>
      <c r="AQ34" s="220">
        <v>237300000</v>
      </c>
      <c r="AR34" s="235">
        <f>+AQ34/AN34</f>
        <v>0.78811026237130521</v>
      </c>
      <c r="AS34" s="64"/>
      <c r="AT34" s="64"/>
      <c r="AU34" s="216"/>
    </row>
    <row r="35" spans="1:49" ht="15" customHeight="1" x14ac:dyDescent="0.35">
      <c r="A35" s="302"/>
      <c r="B35" s="218"/>
      <c r="C35" s="217"/>
      <c r="D35" s="217"/>
      <c r="E35" s="217"/>
      <c r="F35" s="218"/>
      <c r="G35" s="217"/>
      <c r="H35" s="151"/>
      <c r="I35" s="151"/>
      <c r="J35" s="299"/>
      <c r="K35" s="217"/>
      <c r="L35" s="230"/>
      <c r="M35" s="230"/>
      <c r="N35" s="230"/>
      <c r="O35" s="204"/>
      <c r="P35" s="230"/>
      <c r="Q35" s="204"/>
      <c r="R35" s="204"/>
      <c r="S35" s="230"/>
      <c r="T35" s="219"/>
      <c r="U35" s="219"/>
      <c r="V35" s="230"/>
      <c r="W35" s="230"/>
      <c r="X35" s="230"/>
      <c r="Y35" s="230"/>
      <c r="Z35" s="230"/>
      <c r="AA35" s="204"/>
      <c r="AB35" s="230"/>
      <c r="AC35" s="204"/>
      <c r="AD35" s="204"/>
      <c r="AE35" s="219"/>
      <c r="AF35" s="219"/>
      <c r="AG35" s="220"/>
      <c r="AH35" s="220"/>
      <c r="AI35" s="10" t="s">
        <v>164</v>
      </c>
      <c r="AJ35" s="10"/>
      <c r="AK35" s="10"/>
      <c r="AL35" s="10" t="s">
        <v>161</v>
      </c>
      <c r="AM35" s="220"/>
      <c r="AN35" s="220"/>
      <c r="AO35" s="246"/>
      <c r="AP35" s="247"/>
      <c r="AQ35" s="220"/>
      <c r="AR35" s="235"/>
      <c r="AS35" s="64"/>
      <c r="AT35" s="64"/>
      <c r="AU35" s="216"/>
    </row>
    <row r="36" spans="1:49" ht="15" customHeight="1" x14ac:dyDescent="0.35">
      <c r="A36" s="302"/>
      <c r="B36" s="218"/>
      <c r="C36" s="217"/>
      <c r="D36" s="217"/>
      <c r="E36" s="217"/>
      <c r="F36" s="218"/>
      <c r="G36" s="217"/>
      <c r="H36" s="151"/>
      <c r="I36" s="151"/>
      <c r="J36" s="299"/>
      <c r="K36" s="217"/>
      <c r="L36" s="230"/>
      <c r="M36" s="230"/>
      <c r="N36" s="230"/>
      <c r="O36" s="204"/>
      <c r="P36" s="230"/>
      <c r="Q36" s="204"/>
      <c r="R36" s="204"/>
      <c r="S36" s="230"/>
      <c r="T36" s="219"/>
      <c r="U36" s="219"/>
      <c r="V36" s="230"/>
      <c r="W36" s="230"/>
      <c r="X36" s="230"/>
      <c r="Y36" s="230"/>
      <c r="Z36" s="230"/>
      <c r="AA36" s="204"/>
      <c r="AB36" s="230"/>
      <c r="AC36" s="204"/>
      <c r="AD36" s="204"/>
      <c r="AE36" s="219"/>
      <c r="AF36" s="219"/>
      <c r="AG36" s="220"/>
      <c r="AH36" s="220"/>
      <c r="AI36" s="10" t="s">
        <v>164</v>
      </c>
      <c r="AJ36" s="10"/>
      <c r="AK36" s="10"/>
      <c r="AL36" s="10" t="s">
        <v>161</v>
      </c>
      <c r="AM36" s="220"/>
      <c r="AN36" s="220"/>
      <c r="AO36" s="246"/>
      <c r="AP36" s="247"/>
      <c r="AQ36" s="220"/>
      <c r="AR36" s="235"/>
      <c r="AS36" s="64"/>
      <c r="AT36" s="64"/>
      <c r="AU36" s="216"/>
    </row>
    <row r="37" spans="1:49" ht="15.75" customHeight="1" x14ac:dyDescent="0.35">
      <c r="A37" s="302"/>
      <c r="B37" s="218"/>
      <c r="C37" s="217"/>
      <c r="D37" s="217"/>
      <c r="E37" s="217"/>
      <c r="F37" s="218"/>
      <c r="G37" s="217"/>
      <c r="H37" s="151"/>
      <c r="I37" s="151"/>
      <c r="J37" s="299"/>
      <c r="K37" s="217"/>
      <c r="L37" s="230"/>
      <c r="M37" s="230"/>
      <c r="N37" s="230"/>
      <c r="O37" s="204"/>
      <c r="P37" s="230"/>
      <c r="Q37" s="204"/>
      <c r="R37" s="204"/>
      <c r="S37" s="230"/>
      <c r="T37" s="219"/>
      <c r="U37" s="219"/>
      <c r="V37" s="230"/>
      <c r="W37" s="230"/>
      <c r="X37" s="230"/>
      <c r="Y37" s="230"/>
      <c r="Z37" s="230"/>
      <c r="AA37" s="204"/>
      <c r="AB37" s="230"/>
      <c r="AC37" s="204"/>
      <c r="AD37" s="204"/>
      <c r="AE37" s="219"/>
      <c r="AF37" s="219"/>
      <c r="AG37" s="220"/>
      <c r="AH37" s="220"/>
      <c r="AI37" s="10" t="s">
        <v>164</v>
      </c>
      <c r="AJ37" s="10"/>
      <c r="AK37" s="10"/>
      <c r="AL37" s="10" t="s">
        <v>161</v>
      </c>
      <c r="AM37" s="220"/>
      <c r="AN37" s="220"/>
      <c r="AO37" s="246"/>
      <c r="AP37" s="247"/>
      <c r="AQ37" s="220"/>
      <c r="AR37" s="235"/>
      <c r="AS37" s="64"/>
      <c r="AT37" s="64"/>
      <c r="AU37" s="216"/>
    </row>
    <row r="38" spans="1:49" ht="76.5" customHeight="1" x14ac:dyDescent="0.35">
      <c r="A38" s="303"/>
      <c r="B38" s="218"/>
      <c r="C38" s="217"/>
      <c r="D38" s="217"/>
      <c r="E38" s="217"/>
      <c r="F38" s="218"/>
      <c r="G38" s="217"/>
      <c r="H38" s="151"/>
      <c r="I38" s="151"/>
      <c r="J38" s="299"/>
      <c r="K38" s="217"/>
      <c r="L38" s="230"/>
      <c r="M38" s="230"/>
      <c r="N38" s="230"/>
      <c r="O38" s="205"/>
      <c r="P38" s="230"/>
      <c r="Q38" s="205"/>
      <c r="R38" s="205"/>
      <c r="S38" s="230"/>
      <c r="T38" s="219"/>
      <c r="U38" s="219"/>
      <c r="V38" s="230"/>
      <c r="W38" s="230"/>
      <c r="X38" s="230"/>
      <c r="Y38" s="230"/>
      <c r="Z38" s="230"/>
      <c r="AA38" s="205"/>
      <c r="AB38" s="230"/>
      <c r="AC38" s="205"/>
      <c r="AD38" s="205"/>
      <c r="AE38" s="219"/>
      <c r="AF38" s="219"/>
      <c r="AG38" s="220"/>
      <c r="AH38" s="220"/>
      <c r="AI38" s="10" t="s">
        <v>164</v>
      </c>
      <c r="AJ38" s="10"/>
      <c r="AK38" s="10"/>
      <c r="AL38" s="10" t="s">
        <v>161</v>
      </c>
      <c r="AM38" s="220"/>
      <c r="AN38" s="220"/>
      <c r="AO38" s="246"/>
      <c r="AP38" s="247"/>
      <c r="AQ38" s="220"/>
      <c r="AR38" s="235"/>
      <c r="AS38" s="64"/>
      <c r="AT38" s="64"/>
      <c r="AU38" s="216"/>
    </row>
    <row r="39" spans="1:49" ht="76.5" customHeight="1" x14ac:dyDescent="0.35">
      <c r="A39" s="58"/>
      <c r="B39" s="159"/>
      <c r="C39" s="151"/>
      <c r="D39" s="151"/>
      <c r="E39" s="151"/>
      <c r="F39" s="210" t="s">
        <v>362</v>
      </c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2"/>
      <c r="T39" s="152">
        <f>+T34</f>
        <v>0.45454545454545453</v>
      </c>
      <c r="U39" s="152">
        <f>+U34</f>
        <v>0.15</v>
      </c>
      <c r="V39" s="222" t="s">
        <v>375</v>
      </c>
      <c r="W39" s="223"/>
      <c r="X39" s="223"/>
      <c r="Y39" s="223"/>
      <c r="Z39" s="223"/>
      <c r="AA39" s="223"/>
      <c r="AB39" s="223"/>
      <c r="AC39" s="223"/>
      <c r="AD39" s="223"/>
      <c r="AE39" s="223"/>
      <c r="AF39" s="315">
        <f>+AF34</f>
        <v>0.15</v>
      </c>
      <c r="AG39" s="183"/>
      <c r="AH39" s="184"/>
      <c r="AI39" s="10"/>
      <c r="AJ39" s="10"/>
      <c r="AK39" s="10"/>
      <c r="AL39" s="10"/>
      <c r="AM39" s="155"/>
      <c r="AN39" s="155"/>
      <c r="AO39" s="38"/>
      <c r="AP39" s="49"/>
      <c r="AQ39" s="36"/>
      <c r="AR39" s="47"/>
      <c r="AS39" s="64"/>
      <c r="AT39" s="64"/>
      <c r="AU39" s="43"/>
    </row>
    <row r="40" spans="1:49" ht="76.5" customHeight="1" x14ac:dyDescent="0.35">
      <c r="A40" s="58"/>
      <c r="B40" s="210" t="s">
        <v>364</v>
      </c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2"/>
      <c r="T40" s="152">
        <f>+AVERAGE(T27,T33,T39)</f>
        <v>0.44550272843376293</v>
      </c>
      <c r="U40" s="152">
        <f>+AVERAGE(U27,U33,U39)</f>
        <v>0.44766666666666666</v>
      </c>
      <c r="V40" s="225"/>
      <c r="W40" s="226"/>
      <c r="X40" s="226"/>
      <c r="Y40" s="226"/>
      <c r="Z40" s="226"/>
      <c r="AA40" s="226"/>
      <c r="AB40" s="226"/>
      <c r="AC40" s="226"/>
      <c r="AD40" s="226"/>
      <c r="AE40" s="226"/>
      <c r="AF40" s="316"/>
      <c r="AG40" s="185"/>
      <c r="AH40" s="186"/>
      <c r="AI40" s="10"/>
      <c r="AJ40" s="10"/>
      <c r="AK40" s="10"/>
      <c r="AL40" s="10"/>
      <c r="AM40" s="155"/>
      <c r="AN40" s="155"/>
      <c r="AO40" s="38"/>
      <c r="AP40" s="49"/>
      <c r="AQ40" s="36"/>
      <c r="AR40" s="47"/>
      <c r="AS40" s="64"/>
      <c r="AT40" s="64"/>
      <c r="AU40" s="43"/>
    </row>
    <row r="41" spans="1:49" ht="92.25" customHeight="1" x14ac:dyDescent="0.35">
      <c r="A41" s="218" t="s">
        <v>48</v>
      </c>
      <c r="B41" s="218" t="s">
        <v>250</v>
      </c>
      <c r="C41" s="218" t="s">
        <v>49</v>
      </c>
      <c r="D41" s="218">
        <v>0.3</v>
      </c>
      <c r="E41" s="218" t="s">
        <v>50</v>
      </c>
      <c r="F41" s="218" t="s">
        <v>51</v>
      </c>
      <c r="G41" s="218" t="s">
        <v>255</v>
      </c>
      <c r="H41" s="144"/>
      <c r="I41" s="144"/>
      <c r="J41" s="164">
        <v>0.32</v>
      </c>
      <c r="K41" s="218" t="s">
        <v>256</v>
      </c>
      <c r="L41" s="231">
        <v>1</v>
      </c>
      <c r="M41" s="296">
        <f>56%</f>
        <v>0.56000000000000005</v>
      </c>
      <c r="N41" s="296">
        <f>75.65%-56%</f>
        <v>0.19650000000000001</v>
      </c>
      <c r="O41" s="310"/>
      <c r="P41" s="296">
        <v>0.09</v>
      </c>
      <c r="Q41" s="310">
        <v>0.09</v>
      </c>
      <c r="R41" s="310">
        <v>0.26</v>
      </c>
      <c r="S41" s="296">
        <f>+O41+P41+Q41+R41</f>
        <v>0.44</v>
      </c>
      <c r="T41" s="296">
        <f>+S41/N41</f>
        <v>2.2391857506361323</v>
      </c>
      <c r="U41" s="296">
        <f>+(S41+M41)/L41</f>
        <v>1</v>
      </c>
      <c r="V41" s="230" t="s">
        <v>123</v>
      </c>
      <c r="W41" s="216" t="s">
        <v>268</v>
      </c>
      <c r="X41" s="230" t="s">
        <v>168</v>
      </c>
      <c r="Y41" s="138" t="s">
        <v>195</v>
      </c>
      <c r="Z41" s="139">
        <v>75908</v>
      </c>
      <c r="AA41" s="139"/>
      <c r="AB41" s="139">
        <v>40662</v>
      </c>
      <c r="AC41" s="139">
        <f>54171-AB41</f>
        <v>13509</v>
      </c>
      <c r="AD41" s="139">
        <f>8608+1749</f>
        <v>10357</v>
      </c>
      <c r="AE41" s="139">
        <f t="shared" ref="AE41:AE49" si="4">+AA41+AB41+AC41+AD41</f>
        <v>64528</v>
      </c>
      <c r="AF41" s="119">
        <f>+AE41/Z41</f>
        <v>0.85008167782051958</v>
      </c>
      <c r="AG41" s="140" t="s">
        <v>295</v>
      </c>
      <c r="AH41" s="140" t="s">
        <v>181</v>
      </c>
      <c r="AI41" s="146" t="s">
        <v>300</v>
      </c>
      <c r="AJ41" s="146"/>
      <c r="AK41" s="146"/>
      <c r="AL41" s="146" t="s">
        <v>299</v>
      </c>
      <c r="AM41" s="272" t="s">
        <v>182</v>
      </c>
      <c r="AN41" s="253">
        <v>1200000000</v>
      </c>
      <c r="AO41" s="236" t="s">
        <v>317</v>
      </c>
      <c r="AP41" s="264" t="s">
        <v>200</v>
      </c>
      <c r="AQ41" s="253">
        <v>1027806908.76</v>
      </c>
      <c r="AR41" s="243">
        <f>+AQ41/AN41</f>
        <v>0.8565057573</v>
      </c>
      <c r="AS41" s="66" t="s">
        <v>327</v>
      </c>
      <c r="AT41" s="68"/>
      <c r="AU41" s="323" t="s">
        <v>338</v>
      </c>
    </row>
    <row r="42" spans="1:49" ht="92.25" customHeight="1" x14ac:dyDescent="0.35">
      <c r="A42" s="218"/>
      <c r="B42" s="218"/>
      <c r="C42" s="218"/>
      <c r="D42" s="218"/>
      <c r="E42" s="218"/>
      <c r="F42" s="218"/>
      <c r="G42" s="218"/>
      <c r="H42" s="144"/>
      <c r="I42" s="144"/>
      <c r="J42" s="164"/>
      <c r="K42" s="218"/>
      <c r="L42" s="231"/>
      <c r="M42" s="230"/>
      <c r="N42" s="230"/>
      <c r="O42" s="312"/>
      <c r="P42" s="230"/>
      <c r="Q42" s="312"/>
      <c r="R42" s="312"/>
      <c r="S42" s="230"/>
      <c r="T42" s="230"/>
      <c r="U42" s="230"/>
      <c r="V42" s="230"/>
      <c r="W42" s="216"/>
      <c r="X42" s="230"/>
      <c r="Y42" s="138" t="s">
        <v>175</v>
      </c>
      <c r="Z42" s="139">
        <v>520</v>
      </c>
      <c r="AA42" s="139"/>
      <c r="AB42" s="139">
        <v>2325</v>
      </c>
      <c r="AC42" s="139">
        <v>2718</v>
      </c>
      <c r="AD42" s="139">
        <f>2629+998</f>
        <v>3627</v>
      </c>
      <c r="AE42" s="139">
        <f t="shared" si="4"/>
        <v>8670</v>
      </c>
      <c r="AF42" s="119">
        <v>1</v>
      </c>
      <c r="AG42" s="140" t="s">
        <v>295</v>
      </c>
      <c r="AH42" s="140" t="s">
        <v>163</v>
      </c>
      <c r="AI42" s="146" t="s">
        <v>300</v>
      </c>
      <c r="AJ42" s="146"/>
      <c r="AK42" s="146"/>
      <c r="AL42" s="146" t="s">
        <v>299</v>
      </c>
      <c r="AM42" s="273"/>
      <c r="AN42" s="254"/>
      <c r="AO42" s="237"/>
      <c r="AP42" s="265"/>
      <c r="AQ42" s="254"/>
      <c r="AR42" s="244"/>
      <c r="AS42" s="67"/>
      <c r="AT42" s="67"/>
      <c r="AU42" s="216"/>
      <c r="AW42" s="63"/>
    </row>
    <row r="43" spans="1:49" ht="108.5" x14ac:dyDescent="0.35">
      <c r="A43" s="218"/>
      <c r="B43" s="218"/>
      <c r="C43" s="218"/>
      <c r="D43" s="218"/>
      <c r="E43" s="218"/>
      <c r="F43" s="218"/>
      <c r="G43" s="144" t="s">
        <v>257</v>
      </c>
      <c r="H43" s="144"/>
      <c r="I43" s="144"/>
      <c r="J43" s="164">
        <v>0.32</v>
      </c>
      <c r="K43" s="144" t="s">
        <v>258</v>
      </c>
      <c r="L43" s="78">
        <v>1</v>
      </c>
      <c r="M43" s="166">
        <f>56%</f>
        <v>0.56000000000000005</v>
      </c>
      <c r="N43" s="166">
        <f>75.65%-56%</f>
        <v>0.19650000000000001</v>
      </c>
      <c r="O43" s="166"/>
      <c r="P43" s="166">
        <v>0.09</v>
      </c>
      <c r="Q43" s="166">
        <v>0.09</v>
      </c>
      <c r="R43" s="166">
        <v>0.15</v>
      </c>
      <c r="S43" s="166">
        <f>+O43+P43+Q43+R43</f>
        <v>0.32999999999999996</v>
      </c>
      <c r="T43" s="166">
        <f>+S43/N43</f>
        <v>1.6793893129770989</v>
      </c>
      <c r="U43" s="166">
        <f>+(S43+M43)/L43</f>
        <v>0.89</v>
      </c>
      <c r="V43" s="230"/>
      <c r="W43" s="216"/>
      <c r="X43" s="230"/>
      <c r="Y43" s="138" t="s">
        <v>176</v>
      </c>
      <c r="Z43" s="139">
        <v>600</v>
      </c>
      <c r="AA43" s="139"/>
      <c r="AB43" s="139">
        <v>2384</v>
      </c>
      <c r="AC43" s="139">
        <f>7818-AB43</f>
        <v>5434</v>
      </c>
      <c r="AD43" s="139">
        <f>8547+2747</f>
        <v>11294</v>
      </c>
      <c r="AE43" s="139">
        <f t="shared" si="4"/>
        <v>19112</v>
      </c>
      <c r="AF43" s="119">
        <v>1</v>
      </c>
      <c r="AG43" s="139" t="s">
        <v>295</v>
      </c>
      <c r="AH43" s="140" t="s">
        <v>166</v>
      </c>
      <c r="AI43" s="146" t="s">
        <v>300</v>
      </c>
      <c r="AJ43" s="146"/>
      <c r="AK43" s="146"/>
      <c r="AL43" s="146" t="s">
        <v>299</v>
      </c>
      <c r="AM43" s="274"/>
      <c r="AN43" s="255"/>
      <c r="AO43" s="238"/>
      <c r="AP43" s="266"/>
      <c r="AQ43" s="255"/>
      <c r="AR43" s="245"/>
      <c r="AS43" s="271" t="s">
        <v>328</v>
      </c>
      <c r="AT43" s="68"/>
      <c r="AU43" s="216"/>
    </row>
    <row r="44" spans="1:49" ht="132.75" customHeight="1" x14ac:dyDescent="0.35">
      <c r="A44" s="218"/>
      <c r="B44" s="218"/>
      <c r="C44" s="218"/>
      <c r="D44" s="218"/>
      <c r="E44" s="218"/>
      <c r="F44" s="218"/>
      <c r="G44" s="218" t="s">
        <v>259</v>
      </c>
      <c r="H44" s="144"/>
      <c r="I44" s="144"/>
      <c r="J44" s="300">
        <v>0</v>
      </c>
      <c r="K44" s="218" t="s">
        <v>260</v>
      </c>
      <c r="L44" s="230">
        <v>1</v>
      </c>
      <c r="M44" s="221">
        <f>48%+J44</f>
        <v>0.48</v>
      </c>
      <c r="N44" s="231">
        <v>0.52</v>
      </c>
      <c r="O44" s="231"/>
      <c r="P44" s="231">
        <v>0.22</v>
      </c>
      <c r="Q44" s="231">
        <v>0.22</v>
      </c>
      <c r="R44" s="231">
        <v>0.08</v>
      </c>
      <c r="S44" s="221">
        <f>+O44+P44+Q44+R44</f>
        <v>0.52</v>
      </c>
      <c r="T44" s="221">
        <f>+S44/N44</f>
        <v>1</v>
      </c>
      <c r="U44" s="221">
        <f>+(S44+M44)/L44</f>
        <v>1</v>
      </c>
      <c r="V44" s="230"/>
      <c r="W44" s="216"/>
      <c r="X44" s="230"/>
      <c r="Y44" s="139" t="s">
        <v>177</v>
      </c>
      <c r="Z44" s="139">
        <v>200</v>
      </c>
      <c r="AA44" s="139"/>
      <c r="AB44" s="139">
        <v>15</v>
      </c>
      <c r="AC44" s="139">
        <v>15</v>
      </c>
      <c r="AD44" s="139">
        <f>39+39</f>
        <v>78</v>
      </c>
      <c r="AE44" s="139">
        <f t="shared" si="4"/>
        <v>108</v>
      </c>
      <c r="AF44" s="119">
        <f>+AE44/Z44</f>
        <v>0.54</v>
      </c>
      <c r="AG44" s="139" t="s">
        <v>295</v>
      </c>
      <c r="AH44" s="140" t="s">
        <v>166</v>
      </c>
      <c r="AI44" s="146" t="s">
        <v>300</v>
      </c>
      <c r="AJ44" s="146"/>
      <c r="AK44" s="146"/>
      <c r="AL44" s="146" t="s">
        <v>299</v>
      </c>
      <c r="AM44" s="275" t="s">
        <v>206</v>
      </c>
      <c r="AN44" s="220">
        <v>420000000</v>
      </c>
      <c r="AO44" s="246" t="s">
        <v>199</v>
      </c>
      <c r="AP44" s="247" t="s">
        <v>201</v>
      </c>
      <c r="AQ44" s="220">
        <v>377733333</v>
      </c>
      <c r="AR44" s="235">
        <f>+AQ44/AN44</f>
        <v>0.89936507857142856</v>
      </c>
      <c r="AS44" s="271"/>
      <c r="AT44" s="68"/>
      <c r="AU44" s="216"/>
    </row>
    <row r="45" spans="1:49" ht="132.75" customHeight="1" x14ac:dyDescent="0.35">
      <c r="A45" s="218"/>
      <c r="B45" s="218"/>
      <c r="C45" s="218"/>
      <c r="D45" s="218"/>
      <c r="E45" s="218"/>
      <c r="F45" s="218"/>
      <c r="G45" s="218"/>
      <c r="H45" s="144"/>
      <c r="I45" s="144"/>
      <c r="J45" s="300"/>
      <c r="K45" s="218"/>
      <c r="L45" s="230"/>
      <c r="M45" s="286"/>
      <c r="N45" s="230"/>
      <c r="O45" s="230"/>
      <c r="P45" s="230"/>
      <c r="Q45" s="230"/>
      <c r="R45" s="230"/>
      <c r="S45" s="286"/>
      <c r="T45" s="286"/>
      <c r="U45" s="286"/>
      <c r="V45" s="230"/>
      <c r="W45" s="216"/>
      <c r="X45" s="230"/>
      <c r="Y45" s="138" t="s">
        <v>196</v>
      </c>
      <c r="Z45" s="139">
        <v>1</v>
      </c>
      <c r="AA45" s="139"/>
      <c r="AB45" s="139">
        <v>0.5</v>
      </c>
      <c r="AC45" s="139">
        <v>0.5</v>
      </c>
      <c r="AD45" s="139">
        <v>0</v>
      </c>
      <c r="AE45" s="139">
        <f t="shared" si="4"/>
        <v>1</v>
      </c>
      <c r="AF45" s="119">
        <f>+AE45/Z45</f>
        <v>1</v>
      </c>
      <c r="AG45" s="139" t="s">
        <v>295</v>
      </c>
      <c r="AH45" s="140" t="s">
        <v>198</v>
      </c>
      <c r="AI45" s="146" t="s">
        <v>300</v>
      </c>
      <c r="AJ45" s="146"/>
      <c r="AK45" s="146"/>
      <c r="AL45" s="146" t="s">
        <v>299</v>
      </c>
      <c r="AM45" s="276"/>
      <c r="AN45" s="220"/>
      <c r="AO45" s="246"/>
      <c r="AP45" s="247"/>
      <c r="AQ45" s="220"/>
      <c r="AR45" s="235"/>
      <c r="AS45" s="271"/>
      <c r="AT45" s="68"/>
      <c r="AU45" s="216"/>
    </row>
    <row r="46" spans="1:49" ht="87" x14ac:dyDescent="0.35">
      <c r="A46" s="218"/>
      <c r="B46" s="218"/>
      <c r="C46" s="218"/>
      <c r="D46" s="218"/>
      <c r="E46" s="218"/>
      <c r="F46" s="218"/>
      <c r="G46" s="218"/>
      <c r="H46" s="144"/>
      <c r="I46" s="144"/>
      <c r="J46" s="300"/>
      <c r="K46" s="218"/>
      <c r="L46" s="230"/>
      <c r="M46" s="287"/>
      <c r="N46" s="230"/>
      <c r="O46" s="230"/>
      <c r="P46" s="230"/>
      <c r="Q46" s="230"/>
      <c r="R46" s="230"/>
      <c r="S46" s="287"/>
      <c r="T46" s="287"/>
      <c r="U46" s="287"/>
      <c r="V46" s="230"/>
      <c r="W46" s="216"/>
      <c r="X46" s="230"/>
      <c r="Y46" s="138" t="s">
        <v>179</v>
      </c>
      <c r="Z46" s="139">
        <v>10</v>
      </c>
      <c r="AA46" s="139"/>
      <c r="AB46" s="139">
        <v>460</v>
      </c>
      <c r="AC46" s="139">
        <f>24882-AB46</f>
        <v>24422</v>
      </c>
      <c r="AD46" s="139">
        <f>387+136</f>
        <v>523</v>
      </c>
      <c r="AE46" s="139">
        <f t="shared" si="4"/>
        <v>25405</v>
      </c>
      <c r="AF46" s="119">
        <v>1</v>
      </c>
      <c r="AG46" s="139" t="s">
        <v>295</v>
      </c>
      <c r="AH46" s="140" t="s">
        <v>166</v>
      </c>
      <c r="AI46" s="146" t="s">
        <v>300</v>
      </c>
      <c r="AJ46" s="146"/>
      <c r="AK46" s="146"/>
      <c r="AL46" s="146" t="s">
        <v>299</v>
      </c>
      <c r="AM46" s="276"/>
      <c r="AN46" s="220"/>
      <c r="AO46" s="246"/>
      <c r="AP46" s="247"/>
      <c r="AQ46" s="220"/>
      <c r="AR46" s="235"/>
      <c r="AS46" s="271" t="s">
        <v>329</v>
      </c>
      <c r="AT46" s="68"/>
      <c r="AU46" s="216"/>
    </row>
    <row r="47" spans="1:49" ht="30.75" customHeight="1" x14ac:dyDescent="0.35">
      <c r="A47" s="218"/>
      <c r="B47" s="218"/>
      <c r="C47" s="218"/>
      <c r="D47" s="218"/>
      <c r="E47" s="218"/>
      <c r="F47" s="218"/>
      <c r="G47" s="218" t="s">
        <v>261</v>
      </c>
      <c r="H47" s="144"/>
      <c r="I47" s="144"/>
      <c r="J47" s="218">
        <v>0</v>
      </c>
      <c r="K47" s="218" t="s">
        <v>52</v>
      </c>
      <c r="L47" s="230">
        <v>1</v>
      </c>
      <c r="M47" s="228">
        <f>53%+J47</f>
        <v>0.53</v>
      </c>
      <c r="N47" s="219">
        <v>0.47</v>
      </c>
      <c r="O47" s="228"/>
      <c r="P47" s="219">
        <v>0.3</v>
      </c>
      <c r="Q47" s="228">
        <v>0.1</v>
      </c>
      <c r="R47" s="228">
        <v>0</v>
      </c>
      <c r="S47" s="228">
        <f>+O47+P47+Q47+R47</f>
        <v>0.4</v>
      </c>
      <c r="T47" s="228">
        <f>+S47/N47</f>
        <v>0.85106382978723416</v>
      </c>
      <c r="U47" s="228">
        <f>+(S47+M47)/L47</f>
        <v>0.93</v>
      </c>
      <c r="V47" s="230"/>
      <c r="W47" s="216"/>
      <c r="X47" s="230"/>
      <c r="Y47" s="138" t="s">
        <v>180</v>
      </c>
      <c r="Z47" s="139">
        <v>600</v>
      </c>
      <c r="AA47" s="139"/>
      <c r="AB47" s="139">
        <v>2384</v>
      </c>
      <c r="AC47" s="139">
        <f>7818-AB47</f>
        <v>5434</v>
      </c>
      <c r="AD47" s="139">
        <f>8547+1479</f>
        <v>10026</v>
      </c>
      <c r="AE47" s="139">
        <f t="shared" si="4"/>
        <v>17844</v>
      </c>
      <c r="AF47" s="119">
        <v>1</v>
      </c>
      <c r="AG47" s="139" t="s">
        <v>295</v>
      </c>
      <c r="AH47" s="140" t="s">
        <v>166</v>
      </c>
      <c r="AI47" s="146" t="s">
        <v>300</v>
      </c>
      <c r="AJ47" s="146"/>
      <c r="AK47" s="146"/>
      <c r="AL47" s="146" t="s">
        <v>299</v>
      </c>
      <c r="AM47" s="276"/>
      <c r="AN47" s="220"/>
      <c r="AO47" s="246"/>
      <c r="AP47" s="247"/>
      <c r="AQ47" s="220"/>
      <c r="AR47" s="235"/>
      <c r="AS47" s="271"/>
      <c r="AT47" s="68"/>
      <c r="AU47" s="216"/>
    </row>
    <row r="48" spans="1:49" ht="30.75" customHeight="1" x14ac:dyDescent="0.35">
      <c r="A48" s="218"/>
      <c r="B48" s="218"/>
      <c r="C48" s="218"/>
      <c r="D48" s="218"/>
      <c r="E48" s="218"/>
      <c r="F48" s="218"/>
      <c r="G48" s="218"/>
      <c r="H48" s="144"/>
      <c r="I48" s="144"/>
      <c r="J48" s="218"/>
      <c r="K48" s="218"/>
      <c r="L48" s="230"/>
      <c r="M48" s="298"/>
      <c r="N48" s="219"/>
      <c r="O48" s="298"/>
      <c r="P48" s="219"/>
      <c r="Q48" s="298"/>
      <c r="R48" s="298"/>
      <c r="S48" s="298"/>
      <c r="T48" s="298"/>
      <c r="U48" s="298"/>
      <c r="V48" s="230"/>
      <c r="W48" s="216"/>
      <c r="X48" s="230"/>
      <c r="Y48" s="138" t="s">
        <v>197</v>
      </c>
      <c r="Z48" s="139">
        <v>2</v>
      </c>
      <c r="AA48" s="139"/>
      <c r="AB48" s="139">
        <v>0</v>
      </c>
      <c r="AC48" s="139">
        <v>0</v>
      </c>
      <c r="AD48" s="139">
        <v>1</v>
      </c>
      <c r="AE48" s="139">
        <f t="shared" si="4"/>
        <v>1</v>
      </c>
      <c r="AF48" s="119">
        <f>+AE48/Z48</f>
        <v>0.5</v>
      </c>
      <c r="AG48" s="139" t="s">
        <v>295</v>
      </c>
      <c r="AH48" s="140" t="s">
        <v>166</v>
      </c>
      <c r="AI48" s="146" t="s">
        <v>300</v>
      </c>
      <c r="AJ48" s="146"/>
      <c r="AK48" s="146"/>
      <c r="AL48" s="146" t="s">
        <v>299</v>
      </c>
      <c r="AM48" s="276"/>
      <c r="AN48" s="220"/>
      <c r="AO48" s="246"/>
      <c r="AP48" s="247"/>
      <c r="AQ48" s="220"/>
      <c r="AR48" s="235"/>
      <c r="AS48" s="271"/>
      <c r="AT48" s="68"/>
      <c r="AU48" s="216"/>
    </row>
    <row r="49" spans="1:47" ht="174" x14ac:dyDescent="0.35">
      <c r="A49" s="218"/>
      <c r="B49" s="218"/>
      <c r="C49" s="218"/>
      <c r="D49" s="218"/>
      <c r="E49" s="218"/>
      <c r="F49" s="218"/>
      <c r="G49" s="218"/>
      <c r="H49" s="144"/>
      <c r="I49" s="144"/>
      <c r="J49" s="218">
        <v>0</v>
      </c>
      <c r="K49" s="218"/>
      <c r="L49" s="230"/>
      <c r="M49" s="229"/>
      <c r="N49" s="219"/>
      <c r="O49" s="229"/>
      <c r="P49" s="219"/>
      <c r="Q49" s="229"/>
      <c r="R49" s="229"/>
      <c r="S49" s="229"/>
      <c r="T49" s="229"/>
      <c r="U49" s="229"/>
      <c r="V49" s="230"/>
      <c r="W49" s="216"/>
      <c r="X49" s="230"/>
      <c r="Y49" s="138" t="s">
        <v>178</v>
      </c>
      <c r="Z49" s="139">
        <v>600</v>
      </c>
      <c r="AA49" s="139"/>
      <c r="AB49" s="139">
        <v>4157</v>
      </c>
      <c r="AC49" s="139">
        <f>30171-AB49</f>
        <v>26014</v>
      </c>
      <c r="AD49" s="139">
        <f>11176+2744</f>
        <v>13920</v>
      </c>
      <c r="AE49" s="139">
        <f t="shared" si="4"/>
        <v>44091</v>
      </c>
      <c r="AF49" s="119">
        <v>1</v>
      </c>
      <c r="AG49" s="139" t="s">
        <v>295</v>
      </c>
      <c r="AH49" s="140" t="s">
        <v>166</v>
      </c>
      <c r="AI49" s="146" t="s">
        <v>300</v>
      </c>
      <c r="AJ49" s="146"/>
      <c r="AK49" s="146"/>
      <c r="AL49" s="146" t="s">
        <v>299</v>
      </c>
      <c r="AM49" s="277"/>
      <c r="AN49" s="220"/>
      <c r="AO49" s="246"/>
      <c r="AP49" s="247"/>
      <c r="AQ49" s="220"/>
      <c r="AR49" s="235"/>
      <c r="AS49" s="271"/>
      <c r="AT49" s="68"/>
      <c r="AU49" s="216"/>
    </row>
    <row r="50" spans="1:47" ht="31" x14ac:dyDescent="0.35">
      <c r="A50" s="218"/>
      <c r="B50" s="218"/>
      <c r="C50" s="218"/>
      <c r="D50" s="218"/>
      <c r="E50" s="218"/>
      <c r="F50" s="218"/>
      <c r="G50" s="144"/>
      <c r="H50" s="144"/>
      <c r="I50" s="144"/>
      <c r="J50" s="144"/>
      <c r="K50" s="144"/>
      <c r="L50" s="138"/>
      <c r="M50" s="169"/>
      <c r="N50" s="142"/>
      <c r="O50" s="170"/>
      <c r="P50" s="142"/>
      <c r="Q50" s="170"/>
      <c r="R50" s="170"/>
      <c r="S50" s="169"/>
      <c r="T50" s="169"/>
      <c r="U50" s="169"/>
      <c r="V50" s="210" t="s">
        <v>375</v>
      </c>
      <c r="W50" s="211"/>
      <c r="X50" s="211"/>
      <c r="Y50" s="211"/>
      <c r="Z50" s="211"/>
      <c r="AA50" s="211"/>
      <c r="AB50" s="211"/>
      <c r="AC50" s="211"/>
      <c r="AD50" s="211"/>
      <c r="AE50" s="212"/>
      <c r="AF50" s="171">
        <f>+AVERAGE(AF41:AF49)</f>
        <v>0.87667574198005782</v>
      </c>
      <c r="AG50" s="139"/>
      <c r="AH50" s="140"/>
      <c r="AI50" s="146"/>
      <c r="AJ50" s="146"/>
      <c r="AK50" s="146"/>
      <c r="AL50" s="146"/>
      <c r="AM50" s="110"/>
      <c r="AN50" s="111"/>
      <c r="AO50" s="112"/>
      <c r="AP50" s="113"/>
      <c r="AQ50" s="111"/>
      <c r="AR50" s="100"/>
      <c r="AS50" s="109"/>
      <c r="AT50" s="109"/>
      <c r="AU50" s="98"/>
    </row>
    <row r="51" spans="1:47" ht="32.25" customHeight="1" x14ac:dyDescent="0.35">
      <c r="A51" s="218"/>
      <c r="B51" s="218"/>
      <c r="C51" s="218"/>
      <c r="D51" s="218"/>
      <c r="E51" s="218"/>
      <c r="F51" s="218"/>
      <c r="G51" s="218" t="s">
        <v>262</v>
      </c>
      <c r="H51" s="144"/>
      <c r="I51" s="144"/>
      <c r="J51" s="284">
        <v>1</v>
      </c>
      <c r="K51" s="218" t="s">
        <v>263</v>
      </c>
      <c r="L51" s="231">
        <v>1</v>
      </c>
      <c r="M51" s="221">
        <v>1</v>
      </c>
      <c r="N51" s="231">
        <v>1</v>
      </c>
      <c r="O51" s="231"/>
      <c r="P51" s="231">
        <v>1</v>
      </c>
      <c r="Q51" s="231">
        <v>1</v>
      </c>
      <c r="R51" s="231">
        <v>1</v>
      </c>
      <c r="S51" s="221">
        <v>1</v>
      </c>
      <c r="T51" s="221">
        <v>1</v>
      </c>
      <c r="U51" s="221">
        <f>+(M51+S51)/200%</f>
        <v>1</v>
      </c>
      <c r="V51" s="230" t="s">
        <v>122</v>
      </c>
      <c r="W51" s="216" t="s">
        <v>270</v>
      </c>
      <c r="X51" s="230" t="s">
        <v>215</v>
      </c>
      <c r="Y51" s="174" t="s">
        <v>208</v>
      </c>
      <c r="Z51" s="11">
        <v>1</v>
      </c>
      <c r="AA51" s="11"/>
      <c r="AB51" s="172">
        <v>0.05</v>
      </c>
      <c r="AC51" s="172">
        <v>0.05</v>
      </c>
      <c r="AD51" s="172">
        <v>0.05</v>
      </c>
      <c r="AE51" s="172">
        <f t="shared" ref="AE51:AE57" si="5">+AA51+AB51+AC51+AD51</f>
        <v>0.15000000000000002</v>
      </c>
      <c r="AF51" s="119">
        <f>+AE51/Z51</f>
        <v>0.15000000000000002</v>
      </c>
      <c r="AG51" s="139" t="s">
        <v>295</v>
      </c>
      <c r="AH51" s="140" t="s">
        <v>216</v>
      </c>
      <c r="AI51" s="146" t="s">
        <v>207</v>
      </c>
      <c r="AJ51" s="146"/>
      <c r="AK51" s="146"/>
      <c r="AL51" s="146" t="s">
        <v>119</v>
      </c>
      <c r="AM51" s="23" t="s">
        <v>216</v>
      </c>
      <c r="AN51" s="220">
        <v>420000000</v>
      </c>
      <c r="AO51" s="246" t="s">
        <v>202</v>
      </c>
      <c r="AP51" s="247" t="s">
        <v>204</v>
      </c>
      <c r="AQ51" s="220">
        <v>202973333.34</v>
      </c>
      <c r="AR51" s="235">
        <f>+AQ51/AN51</f>
        <v>0.48326984128571432</v>
      </c>
      <c r="AS51" s="269" t="s">
        <v>326</v>
      </c>
      <c r="AT51" s="69"/>
      <c r="AU51" s="323" t="s">
        <v>339</v>
      </c>
    </row>
    <row r="52" spans="1:47" ht="45.75" customHeight="1" x14ac:dyDescent="0.35">
      <c r="A52" s="218"/>
      <c r="B52" s="218"/>
      <c r="C52" s="218"/>
      <c r="D52" s="218"/>
      <c r="E52" s="218"/>
      <c r="F52" s="218"/>
      <c r="G52" s="218"/>
      <c r="H52" s="144"/>
      <c r="I52" s="144"/>
      <c r="J52" s="284"/>
      <c r="K52" s="218"/>
      <c r="L52" s="231"/>
      <c r="M52" s="286"/>
      <c r="N52" s="231"/>
      <c r="O52" s="231"/>
      <c r="P52" s="231"/>
      <c r="Q52" s="231"/>
      <c r="R52" s="231"/>
      <c r="S52" s="286"/>
      <c r="T52" s="286"/>
      <c r="U52" s="286"/>
      <c r="V52" s="230"/>
      <c r="W52" s="216"/>
      <c r="X52" s="230"/>
      <c r="Y52" s="174" t="s">
        <v>209</v>
      </c>
      <c r="Z52" s="139">
        <v>1</v>
      </c>
      <c r="AA52" s="139"/>
      <c r="AB52" s="172">
        <v>0.1</v>
      </c>
      <c r="AC52" s="172">
        <v>0.1</v>
      </c>
      <c r="AD52" s="172">
        <v>0.1</v>
      </c>
      <c r="AE52" s="172">
        <f t="shared" si="5"/>
        <v>0.30000000000000004</v>
      </c>
      <c r="AF52" s="119">
        <f>+AE52/Z52</f>
        <v>0.30000000000000004</v>
      </c>
      <c r="AG52" s="139" t="s">
        <v>295</v>
      </c>
      <c r="AH52" s="140" t="s">
        <v>163</v>
      </c>
      <c r="AI52" s="146" t="s">
        <v>207</v>
      </c>
      <c r="AJ52" s="146"/>
      <c r="AK52" s="146"/>
      <c r="AL52" s="146" t="s">
        <v>119</v>
      </c>
      <c r="AM52" s="278" t="s">
        <v>205</v>
      </c>
      <c r="AN52" s="220"/>
      <c r="AO52" s="246" t="s">
        <v>202</v>
      </c>
      <c r="AP52" s="247"/>
      <c r="AQ52" s="220"/>
      <c r="AR52" s="235"/>
      <c r="AS52" s="269"/>
      <c r="AT52" s="69"/>
      <c r="AU52" s="216"/>
    </row>
    <row r="53" spans="1:47" ht="31" x14ac:dyDescent="0.35">
      <c r="A53" s="218"/>
      <c r="B53" s="218"/>
      <c r="C53" s="218"/>
      <c r="D53" s="218"/>
      <c r="E53" s="218"/>
      <c r="F53" s="218"/>
      <c r="G53" s="218"/>
      <c r="H53" s="144"/>
      <c r="I53" s="144"/>
      <c r="J53" s="284"/>
      <c r="K53" s="218"/>
      <c r="L53" s="231"/>
      <c r="M53" s="286"/>
      <c r="N53" s="231"/>
      <c r="O53" s="231"/>
      <c r="P53" s="231"/>
      <c r="Q53" s="231"/>
      <c r="R53" s="231"/>
      <c r="S53" s="286"/>
      <c r="T53" s="286"/>
      <c r="U53" s="286"/>
      <c r="V53" s="230"/>
      <c r="W53" s="216"/>
      <c r="X53" s="230"/>
      <c r="Y53" s="174" t="s">
        <v>210</v>
      </c>
      <c r="Z53" s="139">
        <v>100</v>
      </c>
      <c r="AA53" s="139"/>
      <c r="AB53" s="139">
        <v>0</v>
      </c>
      <c r="AC53" s="139"/>
      <c r="AD53" s="139">
        <v>0</v>
      </c>
      <c r="AE53" s="172">
        <f t="shared" si="5"/>
        <v>0</v>
      </c>
      <c r="AF53" s="119">
        <f>+AE53/Z53</f>
        <v>0</v>
      </c>
      <c r="AG53" s="139" t="s">
        <v>295</v>
      </c>
      <c r="AH53" s="140" t="s">
        <v>163</v>
      </c>
      <c r="AI53" s="146" t="s">
        <v>207</v>
      </c>
      <c r="AJ53" s="146"/>
      <c r="AK53" s="146"/>
      <c r="AL53" s="146" t="s">
        <v>119</v>
      </c>
      <c r="AM53" s="278"/>
      <c r="AN53" s="220"/>
      <c r="AO53" s="246"/>
      <c r="AP53" s="247"/>
      <c r="AQ53" s="220"/>
      <c r="AR53" s="235"/>
      <c r="AS53" s="269"/>
      <c r="AT53" s="69"/>
      <c r="AU53" s="216"/>
    </row>
    <row r="54" spans="1:47" ht="77.5" x14ac:dyDescent="0.35">
      <c r="A54" s="218"/>
      <c r="B54" s="218"/>
      <c r="C54" s="218"/>
      <c r="D54" s="218"/>
      <c r="E54" s="218"/>
      <c r="F54" s="218"/>
      <c r="G54" s="218"/>
      <c r="H54" s="144"/>
      <c r="I54" s="144"/>
      <c r="J54" s="284"/>
      <c r="K54" s="218"/>
      <c r="L54" s="231"/>
      <c r="M54" s="286"/>
      <c r="N54" s="231"/>
      <c r="O54" s="231"/>
      <c r="P54" s="231"/>
      <c r="Q54" s="231"/>
      <c r="R54" s="231"/>
      <c r="S54" s="286"/>
      <c r="T54" s="286"/>
      <c r="U54" s="286"/>
      <c r="V54" s="230"/>
      <c r="W54" s="216"/>
      <c r="X54" s="230"/>
      <c r="Y54" s="174" t="s">
        <v>211</v>
      </c>
      <c r="Z54" s="172">
        <v>1</v>
      </c>
      <c r="AA54" s="172"/>
      <c r="AB54" s="119">
        <v>0.25</v>
      </c>
      <c r="AC54" s="119">
        <v>0.25</v>
      </c>
      <c r="AD54" s="119">
        <v>0.25</v>
      </c>
      <c r="AE54" s="172">
        <f t="shared" si="5"/>
        <v>0.75</v>
      </c>
      <c r="AF54" s="119">
        <f>+AE54/Z54</f>
        <v>0.75</v>
      </c>
      <c r="AG54" s="139" t="s">
        <v>295</v>
      </c>
      <c r="AH54" s="140" t="s">
        <v>166</v>
      </c>
      <c r="AI54" s="146" t="s">
        <v>207</v>
      </c>
      <c r="AJ54" s="146"/>
      <c r="AK54" s="146"/>
      <c r="AL54" s="146" t="s">
        <v>119</v>
      </c>
      <c r="AM54" s="278"/>
      <c r="AN54" s="220"/>
      <c r="AO54" s="246"/>
      <c r="AP54" s="247"/>
      <c r="AQ54" s="220"/>
      <c r="AR54" s="235"/>
      <c r="AS54" s="269"/>
      <c r="AT54" s="69"/>
      <c r="AU54" s="216"/>
    </row>
    <row r="55" spans="1:47" ht="93" x14ac:dyDescent="0.35">
      <c r="A55" s="218"/>
      <c r="B55" s="218"/>
      <c r="C55" s="218"/>
      <c r="D55" s="218"/>
      <c r="E55" s="218"/>
      <c r="F55" s="218"/>
      <c r="G55" s="218"/>
      <c r="H55" s="144"/>
      <c r="I55" s="144"/>
      <c r="J55" s="284"/>
      <c r="K55" s="218"/>
      <c r="L55" s="231"/>
      <c r="M55" s="286"/>
      <c r="N55" s="231"/>
      <c r="O55" s="231"/>
      <c r="P55" s="231"/>
      <c r="Q55" s="231"/>
      <c r="R55" s="231"/>
      <c r="S55" s="286"/>
      <c r="T55" s="286"/>
      <c r="U55" s="286"/>
      <c r="V55" s="230"/>
      <c r="W55" s="216"/>
      <c r="X55" s="230"/>
      <c r="Y55" s="174" t="s">
        <v>212</v>
      </c>
      <c r="Z55" s="139">
        <v>10</v>
      </c>
      <c r="AA55" s="139"/>
      <c r="AB55" s="172">
        <v>0.25</v>
      </c>
      <c r="AC55" s="172">
        <v>0.25</v>
      </c>
      <c r="AD55" s="172">
        <v>0.25</v>
      </c>
      <c r="AE55" s="172">
        <f t="shared" si="5"/>
        <v>0.75</v>
      </c>
      <c r="AF55" s="119">
        <v>0.25</v>
      </c>
      <c r="AG55" s="139" t="s">
        <v>295</v>
      </c>
      <c r="AH55" s="140" t="s">
        <v>163</v>
      </c>
      <c r="AI55" s="146" t="s">
        <v>207</v>
      </c>
      <c r="AJ55" s="146"/>
      <c r="AK55" s="146"/>
      <c r="AL55" s="146" t="s">
        <v>119</v>
      </c>
      <c r="AM55" s="278"/>
      <c r="AN55" s="220"/>
      <c r="AO55" s="246"/>
      <c r="AP55" s="247"/>
      <c r="AQ55" s="220"/>
      <c r="AR55" s="235"/>
      <c r="AS55" s="269"/>
      <c r="AT55" s="69"/>
      <c r="AU55" s="216"/>
    </row>
    <row r="56" spans="1:47" ht="72.5" x14ac:dyDescent="0.35">
      <c r="A56" s="218"/>
      <c r="B56" s="218"/>
      <c r="C56" s="218"/>
      <c r="D56" s="218"/>
      <c r="E56" s="218"/>
      <c r="F56" s="218"/>
      <c r="G56" s="218"/>
      <c r="H56" s="144"/>
      <c r="I56" s="144"/>
      <c r="J56" s="284"/>
      <c r="K56" s="218"/>
      <c r="L56" s="231"/>
      <c r="M56" s="286"/>
      <c r="N56" s="231"/>
      <c r="O56" s="231"/>
      <c r="P56" s="231"/>
      <c r="Q56" s="231"/>
      <c r="R56" s="231"/>
      <c r="S56" s="286"/>
      <c r="T56" s="286"/>
      <c r="U56" s="286"/>
      <c r="V56" s="230"/>
      <c r="W56" s="216"/>
      <c r="X56" s="230"/>
      <c r="Y56" s="14" t="s">
        <v>213</v>
      </c>
      <c r="Z56" s="139">
        <v>1</v>
      </c>
      <c r="AA56" s="139"/>
      <c r="AB56" s="139">
        <v>0</v>
      </c>
      <c r="AC56" s="139"/>
      <c r="AD56" s="139">
        <v>0</v>
      </c>
      <c r="AE56" s="172">
        <f t="shared" si="5"/>
        <v>0</v>
      </c>
      <c r="AF56" s="119">
        <f>+AE56/Z56</f>
        <v>0</v>
      </c>
      <c r="AG56" s="139" t="s">
        <v>295</v>
      </c>
      <c r="AH56" s="140" t="s">
        <v>216</v>
      </c>
      <c r="AI56" s="146" t="s">
        <v>207</v>
      </c>
      <c r="AJ56" s="146"/>
      <c r="AK56" s="146"/>
      <c r="AL56" s="146" t="s">
        <v>119</v>
      </c>
      <c r="AM56" s="278"/>
      <c r="AN56" s="220"/>
      <c r="AO56" s="246"/>
      <c r="AP56" s="247"/>
      <c r="AQ56" s="220"/>
      <c r="AR56" s="235"/>
      <c r="AS56" s="269"/>
      <c r="AT56" s="69"/>
      <c r="AU56" s="216"/>
    </row>
    <row r="57" spans="1:47" ht="58" x14ac:dyDescent="0.35">
      <c r="A57" s="218"/>
      <c r="B57" s="218"/>
      <c r="C57" s="218"/>
      <c r="D57" s="218"/>
      <c r="E57" s="218"/>
      <c r="F57" s="218"/>
      <c r="G57" s="218"/>
      <c r="H57" s="144"/>
      <c r="I57" s="144"/>
      <c r="J57" s="284"/>
      <c r="K57" s="218"/>
      <c r="L57" s="231"/>
      <c r="M57" s="286"/>
      <c r="N57" s="231"/>
      <c r="O57" s="231"/>
      <c r="P57" s="231"/>
      <c r="Q57" s="231"/>
      <c r="R57" s="231"/>
      <c r="S57" s="286"/>
      <c r="T57" s="286"/>
      <c r="U57" s="286"/>
      <c r="V57" s="230"/>
      <c r="W57" s="216"/>
      <c r="X57" s="230"/>
      <c r="Y57" s="14" t="s">
        <v>214</v>
      </c>
      <c r="Z57" s="139">
        <v>10</v>
      </c>
      <c r="AA57" s="139"/>
      <c r="AB57" s="139">
        <v>9</v>
      </c>
      <c r="AC57" s="139"/>
      <c r="AD57" s="139">
        <v>1</v>
      </c>
      <c r="AE57" s="139">
        <f t="shared" si="5"/>
        <v>10</v>
      </c>
      <c r="AF57" s="119">
        <f>+AE57/Z57</f>
        <v>1</v>
      </c>
      <c r="AG57" s="139" t="s">
        <v>295</v>
      </c>
      <c r="AH57" s="140" t="s">
        <v>163</v>
      </c>
      <c r="AI57" s="146" t="s">
        <v>207</v>
      </c>
      <c r="AJ57" s="146"/>
      <c r="AK57" s="146"/>
      <c r="AL57" s="146" t="s">
        <v>119</v>
      </c>
      <c r="AM57" s="278"/>
      <c r="AN57" s="220"/>
      <c r="AO57" s="246"/>
      <c r="AP57" s="247"/>
      <c r="AQ57" s="220"/>
      <c r="AR57" s="235"/>
      <c r="AS57" s="269"/>
      <c r="AT57" s="69"/>
      <c r="AU57" s="216"/>
    </row>
    <row r="58" spans="1:47" ht="46.5" x14ac:dyDescent="0.35">
      <c r="A58" s="218"/>
      <c r="B58" s="218"/>
      <c r="C58" s="218"/>
      <c r="D58" s="218"/>
      <c r="E58" s="218"/>
      <c r="F58" s="218"/>
      <c r="G58" s="218"/>
      <c r="H58" s="144"/>
      <c r="I58" s="144"/>
      <c r="J58" s="284"/>
      <c r="K58" s="218"/>
      <c r="L58" s="231"/>
      <c r="M58" s="287"/>
      <c r="N58" s="231"/>
      <c r="O58" s="231"/>
      <c r="P58" s="231"/>
      <c r="Q58" s="231"/>
      <c r="R58" s="231"/>
      <c r="S58" s="287"/>
      <c r="T58" s="287"/>
      <c r="U58" s="287"/>
      <c r="V58" s="230"/>
      <c r="W58" s="216"/>
      <c r="X58" s="230"/>
      <c r="Y58" s="144" t="s">
        <v>263</v>
      </c>
      <c r="Z58" s="172">
        <v>1</v>
      </c>
      <c r="AA58" s="172"/>
      <c r="AB58" s="172">
        <v>1</v>
      </c>
      <c r="AC58" s="172">
        <v>1</v>
      </c>
      <c r="AD58" s="172">
        <v>1</v>
      </c>
      <c r="AE58" s="172">
        <v>1</v>
      </c>
      <c r="AF58" s="119">
        <v>1</v>
      </c>
      <c r="AG58" s="4" t="s">
        <v>295</v>
      </c>
      <c r="AH58" s="4" t="s">
        <v>163</v>
      </c>
      <c r="AI58" s="6" t="s">
        <v>207</v>
      </c>
      <c r="AJ58" s="6"/>
      <c r="AK58" s="6"/>
      <c r="AL58" s="9" t="s">
        <v>119</v>
      </c>
      <c r="AM58" s="278" t="s">
        <v>182</v>
      </c>
      <c r="AN58" s="279">
        <v>154026645</v>
      </c>
      <c r="AO58" s="285" t="s">
        <v>202</v>
      </c>
      <c r="AP58" s="248" t="s">
        <v>203</v>
      </c>
      <c r="AQ58" s="279">
        <v>21718115.780000001</v>
      </c>
      <c r="AR58" s="235">
        <f>+AQ58/AN58</f>
        <v>0.14100232969432011</v>
      </c>
      <c r="AS58" s="270" t="s">
        <v>326</v>
      </c>
      <c r="AT58" s="70"/>
      <c r="AU58" s="216"/>
    </row>
    <row r="59" spans="1:47" ht="31" x14ac:dyDescent="0.35">
      <c r="A59" s="218"/>
      <c r="B59" s="218"/>
      <c r="C59" s="218"/>
      <c r="D59" s="218"/>
      <c r="E59" s="218"/>
      <c r="F59" s="218"/>
      <c r="G59" s="159" t="s">
        <v>53</v>
      </c>
      <c r="H59" s="159"/>
      <c r="I59" s="159"/>
      <c r="J59" s="164">
        <v>0</v>
      </c>
      <c r="K59" s="159" t="s">
        <v>264</v>
      </c>
      <c r="L59" s="187">
        <v>1</v>
      </c>
      <c r="M59" s="165">
        <f>20%+J59</f>
        <v>0.2</v>
      </c>
      <c r="N59" s="165">
        <v>1</v>
      </c>
      <c r="O59" s="165"/>
      <c r="P59" s="165">
        <v>0.5</v>
      </c>
      <c r="Q59" s="165">
        <v>0.1</v>
      </c>
      <c r="R59" s="165"/>
      <c r="S59" s="165">
        <f>+O59+P59+Q59+R59</f>
        <v>0.6</v>
      </c>
      <c r="T59" s="165">
        <f>+S59/N59</f>
        <v>0.6</v>
      </c>
      <c r="U59" s="165">
        <f>+(S59+M59)/L59</f>
        <v>0.8</v>
      </c>
      <c r="V59" s="230"/>
      <c r="W59" s="216"/>
      <c r="X59" s="230"/>
      <c r="Y59" s="144" t="s">
        <v>264</v>
      </c>
      <c r="Z59" s="139">
        <v>100</v>
      </c>
      <c r="AA59" s="139"/>
      <c r="AB59" s="172">
        <v>0.2</v>
      </c>
      <c r="AC59" s="172"/>
      <c r="AD59" s="172">
        <v>0</v>
      </c>
      <c r="AE59" s="172">
        <f>+AA59+AB59+AC59+AD59</f>
        <v>0.2</v>
      </c>
      <c r="AF59" s="119">
        <v>0.2</v>
      </c>
      <c r="AG59" s="139" t="s">
        <v>295</v>
      </c>
      <c r="AH59" s="139" t="s">
        <v>216</v>
      </c>
      <c r="AI59" s="6" t="s">
        <v>207</v>
      </c>
      <c r="AJ59" s="6"/>
      <c r="AK59" s="6"/>
      <c r="AL59" s="9" t="s">
        <v>119</v>
      </c>
      <c r="AM59" s="278"/>
      <c r="AN59" s="279"/>
      <c r="AO59" s="285"/>
      <c r="AP59" s="248"/>
      <c r="AQ59" s="279"/>
      <c r="AR59" s="235"/>
      <c r="AS59" s="270"/>
      <c r="AT59" s="70"/>
      <c r="AU59" s="216"/>
    </row>
    <row r="60" spans="1:47" ht="31" x14ac:dyDescent="0.35">
      <c r="A60" s="218"/>
      <c r="B60" s="218"/>
      <c r="C60" s="218"/>
      <c r="D60" s="218"/>
      <c r="E60" s="218"/>
      <c r="F60" s="218"/>
      <c r="G60" s="159"/>
      <c r="H60" s="159"/>
      <c r="I60" s="159"/>
      <c r="J60" s="164"/>
      <c r="K60" s="159"/>
      <c r="L60" s="187"/>
      <c r="M60" s="165"/>
      <c r="N60" s="165"/>
      <c r="O60" s="167"/>
      <c r="P60" s="165"/>
      <c r="Q60" s="167"/>
      <c r="R60" s="167"/>
      <c r="S60" s="165"/>
      <c r="T60" s="165"/>
      <c r="U60" s="165"/>
      <c r="V60" s="210" t="s">
        <v>375</v>
      </c>
      <c r="W60" s="211"/>
      <c r="X60" s="211"/>
      <c r="Y60" s="211"/>
      <c r="Z60" s="211"/>
      <c r="AA60" s="211"/>
      <c r="AB60" s="211"/>
      <c r="AC60" s="211"/>
      <c r="AD60" s="211"/>
      <c r="AE60" s="212"/>
      <c r="AF60" s="171">
        <f>+AVERAGE(AF51:AF59)</f>
        <v>0.40555555555555561</v>
      </c>
      <c r="AG60" s="139"/>
      <c r="AH60" s="139"/>
      <c r="AI60" s="6"/>
      <c r="AJ60" s="6"/>
      <c r="AK60" s="6"/>
      <c r="AL60" s="9"/>
      <c r="AM60" s="115"/>
      <c r="AN60" s="116"/>
      <c r="AO60" s="114"/>
      <c r="AP60" s="99"/>
      <c r="AQ60" s="116"/>
      <c r="AR60" s="100"/>
      <c r="AS60" s="108"/>
      <c r="AT60" s="108"/>
      <c r="AU60" s="98"/>
    </row>
    <row r="61" spans="1:47" ht="111" customHeight="1" x14ac:dyDescent="0.35">
      <c r="A61" s="218"/>
      <c r="B61" s="218"/>
      <c r="C61" s="218"/>
      <c r="D61" s="218"/>
      <c r="E61" s="218"/>
      <c r="F61" s="218"/>
      <c r="G61" s="218" t="s">
        <v>54</v>
      </c>
      <c r="H61" s="144"/>
      <c r="I61" s="144"/>
      <c r="J61" s="218" t="s">
        <v>55</v>
      </c>
      <c r="K61" s="218" t="s">
        <v>56</v>
      </c>
      <c r="L61" s="230">
        <v>3</v>
      </c>
      <c r="M61" s="230">
        <v>0</v>
      </c>
      <c r="N61" s="230">
        <v>1</v>
      </c>
      <c r="O61" s="203"/>
      <c r="P61" s="230">
        <v>0</v>
      </c>
      <c r="Q61" s="203">
        <v>0</v>
      </c>
      <c r="R61" s="203">
        <v>0</v>
      </c>
      <c r="S61" s="230">
        <f>+O61+P61+Q61+R61</f>
        <v>0</v>
      </c>
      <c r="T61" s="219">
        <f>+S61/N61</f>
        <v>0</v>
      </c>
      <c r="U61" s="219"/>
      <c r="V61" s="230" t="s">
        <v>135</v>
      </c>
      <c r="W61" s="216" t="s">
        <v>267</v>
      </c>
      <c r="X61" s="230" t="s">
        <v>136</v>
      </c>
      <c r="Y61" s="138" t="s">
        <v>140</v>
      </c>
      <c r="Z61" s="172">
        <v>1</v>
      </c>
      <c r="AA61" s="172"/>
      <c r="AB61" s="172">
        <v>0.64</v>
      </c>
      <c r="AC61" s="172">
        <v>0.11</v>
      </c>
      <c r="AD61" s="172">
        <v>0.17</v>
      </c>
      <c r="AE61" s="172">
        <f>+AB61+AA61+AC61+AD61</f>
        <v>0.92</v>
      </c>
      <c r="AF61" s="119">
        <f>+AE61/Z61</f>
        <v>0.92</v>
      </c>
      <c r="AG61" s="3" t="s">
        <v>295</v>
      </c>
      <c r="AH61" s="3" t="s">
        <v>189</v>
      </c>
      <c r="AI61" s="138" t="s">
        <v>187</v>
      </c>
      <c r="AJ61" s="138"/>
      <c r="AK61" s="138"/>
      <c r="AL61" s="138" t="s">
        <v>188</v>
      </c>
      <c r="AM61" s="230" t="s">
        <v>194</v>
      </c>
      <c r="AN61" s="251">
        <f>408577726+112861200.99</f>
        <v>521438926.99000001</v>
      </c>
      <c r="AO61" s="285" t="s">
        <v>141</v>
      </c>
      <c r="AP61" s="285" t="s">
        <v>192</v>
      </c>
      <c r="AQ61" s="251">
        <v>262556667</v>
      </c>
      <c r="AR61" s="282">
        <f>+AQ61/AN61</f>
        <v>0.50352333400884597</v>
      </c>
      <c r="AS61" s="281" t="s">
        <v>307</v>
      </c>
      <c r="AT61" s="71"/>
      <c r="AU61" s="323" t="s">
        <v>340</v>
      </c>
    </row>
    <row r="62" spans="1:47" ht="111" customHeight="1" x14ac:dyDescent="0.35">
      <c r="A62" s="218"/>
      <c r="B62" s="218"/>
      <c r="C62" s="218"/>
      <c r="D62" s="218"/>
      <c r="E62" s="218"/>
      <c r="F62" s="218"/>
      <c r="G62" s="218"/>
      <c r="H62" s="144"/>
      <c r="I62" s="144"/>
      <c r="J62" s="218"/>
      <c r="K62" s="218"/>
      <c r="L62" s="230"/>
      <c r="M62" s="230"/>
      <c r="N62" s="230"/>
      <c r="O62" s="204"/>
      <c r="P62" s="230"/>
      <c r="Q62" s="204"/>
      <c r="R62" s="204"/>
      <c r="S62" s="230"/>
      <c r="T62" s="219"/>
      <c r="U62" s="219"/>
      <c r="V62" s="230"/>
      <c r="W62" s="216"/>
      <c r="X62" s="230"/>
      <c r="Y62" s="138" t="s">
        <v>137</v>
      </c>
      <c r="Z62" s="172">
        <v>1</v>
      </c>
      <c r="AA62" s="172"/>
      <c r="AB62" s="172">
        <v>0.2</v>
      </c>
      <c r="AC62" s="172">
        <v>0.55000000000000004</v>
      </c>
      <c r="AD62" s="172">
        <v>0.25</v>
      </c>
      <c r="AE62" s="172">
        <f>+AB62+AA62+AC62+AD62</f>
        <v>1</v>
      </c>
      <c r="AF62" s="119">
        <f>+AE62/Z62</f>
        <v>1</v>
      </c>
      <c r="AG62" s="3" t="s">
        <v>295</v>
      </c>
      <c r="AH62" s="3" t="s">
        <v>190</v>
      </c>
      <c r="AI62" s="138" t="s">
        <v>187</v>
      </c>
      <c r="AJ62" s="138"/>
      <c r="AK62" s="138"/>
      <c r="AL62" s="138" t="s">
        <v>188</v>
      </c>
      <c r="AM62" s="230"/>
      <c r="AN62" s="251"/>
      <c r="AO62" s="285"/>
      <c r="AP62" s="285"/>
      <c r="AQ62" s="251"/>
      <c r="AR62" s="282"/>
      <c r="AS62" s="281"/>
      <c r="AT62" s="71"/>
      <c r="AU62" s="216"/>
    </row>
    <row r="63" spans="1:47" ht="111" customHeight="1" x14ac:dyDescent="0.35">
      <c r="A63" s="218"/>
      <c r="B63" s="218"/>
      <c r="C63" s="218"/>
      <c r="D63" s="218"/>
      <c r="E63" s="218"/>
      <c r="F63" s="218"/>
      <c r="G63" s="218"/>
      <c r="H63" s="144"/>
      <c r="I63" s="144"/>
      <c r="J63" s="218"/>
      <c r="K63" s="218"/>
      <c r="L63" s="230"/>
      <c r="M63" s="230"/>
      <c r="N63" s="230"/>
      <c r="O63" s="204"/>
      <c r="P63" s="230"/>
      <c r="Q63" s="204"/>
      <c r="R63" s="204"/>
      <c r="S63" s="230"/>
      <c r="T63" s="219"/>
      <c r="U63" s="219"/>
      <c r="V63" s="230"/>
      <c r="W63" s="216"/>
      <c r="X63" s="230"/>
      <c r="Y63" s="138" t="s">
        <v>138</v>
      </c>
      <c r="Z63" s="172">
        <v>1</v>
      </c>
      <c r="AA63" s="172"/>
      <c r="AB63" s="172">
        <v>0</v>
      </c>
      <c r="AC63" s="172">
        <v>0</v>
      </c>
      <c r="AD63" s="172">
        <v>0.05</v>
      </c>
      <c r="AE63" s="172">
        <f>+AB63+AA63+AC63+AD63</f>
        <v>0.05</v>
      </c>
      <c r="AF63" s="119">
        <f>+AE63/Z63</f>
        <v>0.05</v>
      </c>
      <c r="AG63" s="3" t="s">
        <v>295</v>
      </c>
      <c r="AH63" s="3" t="s">
        <v>191</v>
      </c>
      <c r="AI63" s="138" t="s">
        <v>187</v>
      </c>
      <c r="AJ63" s="138"/>
      <c r="AK63" s="138"/>
      <c r="AL63" s="138" t="s">
        <v>188</v>
      </c>
      <c r="AM63" s="230" t="s">
        <v>185</v>
      </c>
      <c r="AN63" s="251">
        <v>56370323</v>
      </c>
      <c r="AO63" s="285" t="s">
        <v>141</v>
      </c>
      <c r="AP63" s="285" t="s">
        <v>193</v>
      </c>
      <c r="AQ63" s="251">
        <v>42346915</v>
      </c>
      <c r="AR63" s="282">
        <f>+AQ63/AN63</f>
        <v>0.75122711289058963</v>
      </c>
      <c r="AS63" s="64"/>
      <c r="AT63" s="64"/>
      <c r="AU63" s="216"/>
    </row>
    <row r="64" spans="1:47" ht="111" customHeight="1" x14ac:dyDescent="0.35">
      <c r="A64" s="218"/>
      <c r="B64" s="218"/>
      <c r="C64" s="218"/>
      <c r="D64" s="218"/>
      <c r="E64" s="218"/>
      <c r="F64" s="218"/>
      <c r="G64" s="218"/>
      <c r="H64" s="144"/>
      <c r="I64" s="144"/>
      <c r="J64" s="218"/>
      <c r="K64" s="218"/>
      <c r="L64" s="230"/>
      <c r="M64" s="230"/>
      <c r="N64" s="230"/>
      <c r="O64" s="205"/>
      <c r="P64" s="230"/>
      <c r="Q64" s="205"/>
      <c r="R64" s="205"/>
      <c r="S64" s="230"/>
      <c r="T64" s="219"/>
      <c r="U64" s="219"/>
      <c r="V64" s="230"/>
      <c r="W64" s="216"/>
      <c r="X64" s="230"/>
      <c r="Y64" s="138" t="s">
        <v>139</v>
      </c>
      <c r="Z64" s="172">
        <v>0</v>
      </c>
      <c r="AA64" s="172"/>
      <c r="AB64" s="172">
        <v>0</v>
      </c>
      <c r="AC64" s="172">
        <v>0</v>
      </c>
      <c r="AD64" s="172">
        <v>0</v>
      </c>
      <c r="AE64" s="172">
        <f>+AB64+AA64+AC64+AD64</f>
        <v>0</v>
      </c>
      <c r="AF64" s="119">
        <v>0</v>
      </c>
      <c r="AG64" s="3" t="s">
        <v>295</v>
      </c>
      <c r="AH64" s="3" t="s">
        <v>163</v>
      </c>
      <c r="AI64" s="138" t="s">
        <v>187</v>
      </c>
      <c r="AJ64" s="138"/>
      <c r="AK64" s="138"/>
      <c r="AL64" s="138" t="s">
        <v>188</v>
      </c>
      <c r="AM64" s="230"/>
      <c r="AN64" s="251"/>
      <c r="AO64" s="285"/>
      <c r="AP64" s="285"/>
      <c r="AQ64" s="251"/>
      <c r="AR64" s="282"/>
      <c r="AS64" s="64"/>
      <c r="AT64" s="64"/>
      <c r="AU64" s="216"/>
    </row>
    <row r="65" spans="1:47" ht="111" customHeight="1" x14ac:dyDescent="0.35">
      <c r="A65" s="218"/>
      <c r="B65" s="218"/>
      <c r="C65" s="218"/>
      <c r="D65" s="218"/>
      <c r="E65" s="218"/>
      <c r="F65" s="210" t="s">
        <v>365</v>
      </c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2"/>
      <c r="T65" s="152">
        <f>+AVERAGE(T41:T64)</f>
        <v>1.0528055562000664</v>
      </c>
      <c r="U65" s="152">
        <f>+AVERAGE(U41:U64)</f>
        <v>0.93666666666666665</v>
      </c>
      <c r="V65" s="210" t="s">
        <v>375</v>
      </c>
      <c r="W65" s="211"/>
      <c r="X65" s="211"/>
      <c r="Y65" s="211"/>
      <c r="Z65" s="211"/>
      <c r="AA65" s="211"/>
      <c r="AB65" s="211"/>
      <c r="AC65" s="211"/>
      <c r="AD65" s="211"/>
      <c r="AE65" s="212"/>
      <c r="AF65" s="127">
        <f>+AVERAGE(AF61:AF64)</f>
        <v>0.49249999999999999</v>
      </c>
      <c r="AG65" s="123"/>
      <c r="AH65" s="124"/>
      <c r="AI65" s="154"/>
      <c r="AJ65" s="154"/>
      <c r="AK65" s="154"/>
      <c r="AL65" s="154"/>
      <c r="AM65" s="154"/>
      <c r="AN65" s="44"/>
      <c r="AO65" s="55"/>
      <c r="AP65" s="55"/>
      <c r="AQ65" s="44"/>
      <c r="AR65" s="46"/>
      <c r="AS65" s="64"/>
      <c r="AT65" s="80"/>
      <c r="AU65" s="74"/>
    </row>
    <row r="66" spans="1:47" ht="105" customHeight="1" x14ac:dyDescent="0.35">
      <c r="A66" s="218"/>
      <c r="B66" s="218"/>
      <c r="C66" s="218"/>
      <c r="D66" s="218"/>
      <c r="E66" s="218"/>
      <c r="F66" s="218" t="s">
        <v>57</v>
      </c>
      <c r="G66" s="144" t="s">
        <v>58</v>
      </c>
      <c r="H66" s="144"/>
      <c r="I66" s="144"/>
      <c r="J66" s="144">
        <v>0</v>
      </c>
      <c r="K66" s="144" t="s">
        <v>59</v>
      </c>
      <c r="L66" s="78">
        <v>1</v>
      </c>
      <c r="M66" s="78">
        <v>0</v>
      </c>
      <c r="N66" s="78">
        <v>0.1</v>
      </c>
      <c r="O66" s="78"/>
      <c r="P66" s="78">
        <v>0</v>
      </c>
      <c r="Q66" s="78">
        <v>0</v>
      </c>
      <c r="R66" s="78">
        <v>0.1</v>
      </c>
      <c r="S66" s="78">
        <f>+O66+P66+Q66+R66</f>
        <v>0.1</v>
      </c>
      <c r="T66" s="142">
        <f>+S66/N66</f>
        <v>1</v>
      </c>
      <c r="U66" s="142">
        <f>+(S66+M66)/L66</f>
        <v>0.1</v>
      </c>
      <c r="V66" s="230" t="s">
        <v>124</v>
      </c>
      <c r="W66" s="230" t="s">
        <v>272</v>
      </c>
      <c r="X66" s="138"/>
      <c r="Y66" s="138" t="s">
        <v>120</v>
      </c>
      <c r="Z66" s="138">
        <v>1</v>
      </c>
      <c r="AA66" s="138"/>
      <c r="AB66" s="138"/>
      <c r="AC66" s="138"/>
      <c r="AD66" s="78">
        <v>0.1</v>
      </c>
      <c r="AE66" s="78">
        <f>+AA66+AB66+AC66+AD66</f>
        <v>0.1</v>
      </c>
      <c r="AF66" s="142">
        <f>+AE66/Z66</f>
        <v>0.1</v>
      </c>
      <c r="AG66" s="220" t="s">
        <v>295</v>
      </c>
      <c r="AH66" s="220" t="s">
        <v>163</v>
      </c>
      <c r="AI66" s="10" t="s">
        <v>186</v>
      </c>
      <c r="AJ66" s="10"/>
      <c r="AK66" s="10"/>
      <c r="AL66" s="9" t="s">
        <v>165</v>
      </c>
      <c r="AM66" s="220" t="s">
        <v>185</v>
      </c>
      <c r="AN66" s="220">
        <v>300000000</v>
      </c>
      <c r="AO66" s="246" t="s">
        <v>184</v>
      </c>
      <c r="AP66" s="247" t="s">
        <v>183</v>
      </c>
      <c r="AQ66" s="220">
        <v>185898293.46000001</v>
      </c>
      <c r="AR66" s="235">
        <f>+AQ66/AN66</f>
        <v>0.61966097819999999</v>
      </c>
      <c r="AS66" s="64"/>
      <c r="AT66" s="80"/>
      <c r="AU66" s="324" t="s">
        <v>383</v>
      </c>
    </row>
    <row r="67" spans="1:47" ht="186" x14ac:dyDescent="0.35">
      <c r="A67" s="218"/>
      <c r="B67" s="218"/>
      <c r="C67" s="218"/>
      <c r="D67" s="218"/>
      <c r="E67" s="218"/>
      <c r="F67" s="218"/>
      <c r="G67" s="144" t="s">
        <v>60</v>
      </c>
      <c r="H67" s="144"/>
      <c r="I67" s="144"/>
      <c r="J67" s="144">
        <v>0</v>
      </c>
      <c r="K67" s="144" t="s">
        <v>60</v>
      </c>
      <c r="L67" s="138">
        <v>1</v>
      </c>
      <c r="M67" s="138">
        <v>0</v>
      </c>
      <c r="N67" s="138">
        <v>1</v>
      </c>
      <c r="O67" s="138"/>
      <c r="P67" s="138">
        <v>0</v>
      </c>
      <c r="Q67" s="138">
        <v>0</v>
      </c>
      <c r="R67" s="138">
        <v>1</v>
      </c>
      <c r="S67" s="138">
        <f>+O67+P67+Q67+R67</f>
        <v>1</v>
      </c>
      <c r="T67" s="142">
        <f>+S67/N67</f>
        <v>1</v>
      </c>
      <c r="U67" s="142">
        <f>+(S67+M67)/L67</f>
        <v>1</v>
      </c>
      <c r="V67" s="230"/>
      <c r="W67" s="230"/>
      <c r="X67" s="138" t="s">
        <v>273</v>
      </c>
      <c r="Y67" s="138" t="s">
        <v>121</v>
      </c>
      <c r="Z67" s="138">
        <v>1</v>
      </c>
      <c r="AA67" s="138"/>
      <c r="AB67" s="138"/>
      <c r="AC67" s="138"/>
      <c r="AD67" s="78">
        <v>1</v>
      </c>
      <c r="AE67" s="78">
        <f>+AA67+AB67+AC67+AD67</f>
        <v>1</v>
      </c>
      <c r="AF67" s="142">
        <f>+AE67/Z67</f>
        <v>1</v>
      </c>
      <c r="AG67" s="220"/>
      <c r="AH67" s="220"/>
      <c r="AI67" s="10" t="s">
        <v>186</v>
      </c>
      <c r="AJ67" s="10"/>
      <c r="AK67" s="10"/>
      <c r="AL67" s="9" t="s">
        <v>165</v>
      </c>
      <c r="AM67" s="220"/>
      <c r="AN67" s="220"/>
      <c r="AO67" s="246"/>
      <c r="AP67" s="247"/>
      <c r="AQ67" s="220"/>
      <c r="AR67" s="235"/>
      <c r="AS67" s="64"/>
      <c r="AT67" s="81"/>
      <c r="AU67" s="290"/>
    </row>
    <row r="68" spans="1:47" ht="31.5" customHeight="1" x14ac:dyDescent="0.35">
      <c r="A68" s="57"/>
      <c r="B68" s="57"/>
      <c r="C68" s="57"/>
      <c r="D68" s="57"/>
      <c r="E68" s="57"/>
      <c r="F68" s="210" t="s">
        <v>366</v>
      </c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2"/>
      <c r="T68" s="78">
        <f>+AVERAGE(T66:T67)</f>
        <v>1</v>
      </c>
      <c r="U68" s="78">
        <f>+AVERAGE(U66:U67)</f>
        <v>0.55000000000000004</v>
      </c>
      <c r="V68" s="222" t="s">
        <v>375</v>
      </c>
      <c r="W68" s="223"/>
      <c r="X68" s="223"/>
      <c r="Y68" s="223"/>
      <c r="Z68" s="223"/>
      <c r="AA68" s="223"/>
      <c r="AB68" s="223"/>
      <c r="AC68" s="223"/>
      <c r="AD68" s="223"/>
      <c r="AE68" s="224"/>
      <c r="AF68" s="288">
        <f>+AVERAGE(AF66:AF67)</f>
        <v>0.55000000000000004</v>
      </c>
      <c r="AG68" s="123"/>
      <c r="AH68" s="124"/>
      <c r="AI68" s="10"/>
      <c r="AJ68" s="10"/>
      <c r="AK68" s="10"/>
      <c r="AL68" s="9"/>
      <c r="AM68" s="51"/>
      <c r="AN68" s="51"/>
      <c r="AO68" s="52"/>
      <c r="AP68" s="54"/>
      <c r="AQ68" s="51"/>
      <c r="AR68" s="35"/>
      <c r="AS68" s="64"/>
      <c r="AT68" s="81"/>
      <c r="AU68" s="290"/>
    </row>
    <row r="69" spans="1:47" ht="31" x14ac:dyDescent="0.35">
      <c r="A69" s="57"/>
      <c r="B69" s="210" t="s">
        <v>367</v>
      </c>
      <c r="C69" s="211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2"/>
      <c r="T69" s="78">
        <f>+AVERAGE(T65,T68)</f>
        <v>1.0264027781000333</v>
      </c>
      <c r="U69" s="78">
        <f>+AVERAGE(U65,U68)</f>
        <v>0.7433333333333334</v>
      </c>
      <c r="V69" s="225"/>
      <c r="W69" s="226"/>
      <c r="X69" s="226"/>
      <c r="Y69" s="226"/>
      <c r="Z69" s="226"/>
      <c r="AA69" s="226"/>
      <c r="AB69" s="226"/>
      <c r="AC69" s="226"/>
      <c r="AD69" s="226"/>
      <c r="AE69" s="227"/>
      <c r="AF69" s="225"/>
      <c r="AG69" s="51"/>
      <c r="AH69" s="51"/>
      <c r="AI69" s="10"/>
      <c r="AJ69" s="10"/>
      <c r="AK69" s="10"/>
      <c r="AL69" s="9"/>
      <c r="AM69" s="51"/>
      <c r="AN69" s="51"/>
      <c r="AO69" s="52"/>
      <c r="AP69" s="54"/>
      <c r="AQ69" s="51"/>
      <c r="AR69" s="35"/>
      <c r="AS69" s="64"/>
      <c r="AT69" s="81"/>
      <c r="AU69" s="290"/>
    </row>
    <row r="70" spans="1:47" ht="72" customHeight="1" x14ac:dyDescent="0.35">
      <c r="A70" s="218" t="s">
        <v>61</v>
      </c>
      <c r="B70" s="218" t="s">
        <v>249</v>
      </c>
      <c r="C70" s="217" t="s">
        <v>62</v>
      </c>
      <c r="D70" s="217" t="s">
        <v>63</v>
      </c>
      <c r="E70" s="217" t="s">
        <v>64</v>
      </c>
      <c r="F70" s="218" t="s">
        <v>65</v>
      </c>
      <c r="G70" s="21" t="s">
        <v>66</v>
      </c>
      <c r="H70" s="53"/>
      <c r="I70" s="53"/>
      <c r="J70" s="21" t="s">
        <v>37</v>
      </c>
      <c r="K70" s="21" t="s">
        <v>67</v>
      </c>
      <c r="L70" s="17">
        <v>2</v>
      </c>
      <c r="M70" s="33">
        <v>0</v>
      </c>
      <c r="N70" s="17">
        <v>1</v>
      </c>
      <c r="O70" s="33"/>
      <c r="P70" s="17">
        <v>0</v>
      </c>
      <c r="Q70" s="78"/>
      <c r="R70" s="78">
        <v>0.68</v>
      </c>
      <c r="S70" s="182">
        <f>+O70+P70+Q70+R70</f>
        <v>0.68</v>
      </c>
      <c r="T70" s="19">
        <f>+S70/N70</f>
        <v>0.68</v>
      </c>
      <c r="U70" s="77">
        <f>+(S70+M70)/L70</f>
        <v>0.34</v>
      </c>
      <c r="V70" s="217" t="s">
        <v>318</v>
      </c>
      <c r="W70" s="217">
        <v>2020130010313</v>
      </c>
      <c r="X70" s="217"/>
      <c r="Y70" s="217"/>
      <c r="Z70" s="230"/>
      <c r="AA70" s="33"/>
      <c r="AB70" s="230"/>
      <c r="AC70" s="33"/>
      <c r="AD70" s="148"/>
      <c r="AE70" s="17"/>
      <c r="AF70" s="19"/>
      <c r="AG70" s="220" t="s">
        <v>295</v>
      </c>
      <c r="AH70" s="220" t="s">
        <v>216</v>
      </c>
      <c r="AI70" s="10" t="s">
        <v>186</v>
      </c>
      <c r="AJ70" s="10"/>
      <c r="AK70" s="10"/>
      <c r="AL70" s="9"/>
      <c r="AM70" s="220" t="s">
        <v>185</v>
      </c>
      <c r="AN70" s="220">
        <v>207120126</v>
      </c>
      <c r="AO70" s="247" t="s">
        <v>318</v>
      </c>
      <c r="AP70" s="247" t="s">
        <v>319</v>
      </c>
      <c r="AQ70" s="220">
        <v>138920000</v>
      </c>
      <c r="AR70" s="235">
        <f>+AQ70/AN70</f>
        <v>0.67072187856818899</v>
      </c>
      <c r="AS70" s="64"/>
      <c r="AT70" s="81"/>
      <c r="AU70" s="290"/>
    </row>
    <row r="71" spans="1:47" ht="42" x14ac:dyDescent="0.35">
      <c r="A71" s="218"/>
      <c r="B71" s="218"/>
      <c r="C71" s="217"/>
      <c r="D71" s="217"/>
      <c r="E71" s="217"/>
      <c r="F71" s="218"/>
      <c r="G71" s="21" t="s">
        <v>68</v>
      </c>
      <c r="H71" s="53"/>
      <c r="I71" s="53"/>
      <c r="J71" s="21">
        <v>0</v>
      </c>
      <c r="K71" s="21" t="s">
        <v>69</v>
      </c>
      <c r="L71" s="17">
        <v>1</v>
      </c>
      <c r="M71" s="33">
        <v>0</v>
      </c>
      <c r="N71" s="17" t="s">
        <v>296</v>
      </c>
      <c r="O71" s="33"/>
      <c r="P71" s="17">
        <v>0</v>
      </c>
      <c r="Q71" s="33">
        <v>0</v>
      </c>
      <c r="R71" s="148"/>
      <c r="S71" s="76">
        <f>+O71+P71+Q71+R71</f>
        <v>0</v>
      </c>
      <c r="T71" s="77"/>
      <c r="U71" s="77"/>
      <c r="V71" s="217"/>
      <c r="W71" s="217"/>
      <c r="X71" s="217"/>
      <c r="Y71" s="217"/>
      <c r="Z71" s="230"/>
      <c r="AA71" s="33"/>
      <c r="AB71" s="230"/>
      <c r="AC71" s="33"/>
      <c r="AD71" s="148"/>
      <c r="AE71" s="17"/>
      <c r="AF71" s="19"/>
      <c r="AG71" s="220"/>
      <c r="AH71" s="220"/>
      <c r="AI71" s="10" t="s">
        <v>186</v>
      </c>
      <c r="AJ71" s="10"/>
      <c r="AK71" s="10"/>
      <c r="AL71" s="9"/>
      <c r="AM71" s="220"/>
      <c r="AN71" s="220"/>
      <c r="AO71" s="247"/>
      <c r="AP71" s="247"/>
      <c r="AQ71" s="220"/>
      <c r="AR71" s="235"/>
      <c r="AS71" s="64"/>
      <c r="AT71" s="81"/>
      <c r="AU71" s="290"/>
    </row>
    <row r="72" spans="1:47" ht="31" x14ac:dyDescent="0.35">
      <c r="A72" s="218"/>
      <c r="B72" s="218"/>
      <c r="C72" s="217"/>
      <c r="D72" s="217"/>
      <c r="E72" s="217"/>
      <c r="F72" s="210" t="s">
        <v>368</v>
      </c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2"/>
      <c r="T72" s="150">
        <f>+AVERAGE(T70:T71)</f>
        <v>0.68</v>
      </c>
      <c r="U72" s="77">
        <f>+AVERAGE(U70:U71)</f>
        <v>0.34</v>
      </c>
      <c r="V72" s="210"/>
      <c r="W72" s="211"/>
      <c r="X72" s="211"/>
      <c r="Y72" s="211"/>
      <c r="Z72" s="211"/>
      <c r="AA72" s="211"/>
      <c r="AB72" s="211"/>
      <c r="AC72" s="211"/>
      <c r="AD72" s="211"/>
      <c r="AE72" s="211"/>
      <c r="AF72" s="211"/>
      <c r="AG72" s="211"/>
      <c r="AH72" s="212"/>
      <c r="AI72" s="10"/>
      <c r="AJ72" s="10"/>
      <c r="AK72" s="10"/>
      <c r="AL72" s="9"/>
      <c r="AM72" s="51"/>
      <c r="AN72" s="51"/>
      <c r="AO72" s="54"/>
      <c r="AP72" s="54"/>
      <c r="AQ72" s="51"/>
      <c r="AR72" s="35"/>
      <c r="AS72" s="64"/>
      <c r="AT72" s="81"/>
      <c r="AU72" s="290"/>
    </row>
    <row r="73" spans="1:47" ht="46.5" x14ac:dyDescent="0.35">
      <c r="A73" s="218"/>
      <c r="B73" s="218"/>
      <c r="C73" s="217"/>
      <c r="D73" s="217"/>
      <c r="E73" s="217"/>
      <c r="F73" s="144" t="s">
        <v>70</v>
      </c>
      <c r="G73" s="141" t="s">
        <v>71</v>
      </c>
      <c r="H73" s="141"/>
      <c r="I73" s="141"/>
      <c r="J73" s="141" t="s">
        <v>37</v>
      </c>
      <c r="K73" s="141" t="s">
        <v>72</v>
      </c>
      <c r="L73" s="79">
        <v>1</v>
      </c>
      <c r="M73" s="141">
        <v>0</v>
      </c>
      <c r="N73" s="141">
        <v>0.33</v>
      </c>
      <c r="O73" s="141"/>
      <c r="P73" s="141">
        <v>0</v>
      </c>
      <c r="Q73" s="141">
        <v>0.22</v>
      </c>
      <c r="R73" s="141">
        <v>0.11</v>
      </c>
      <c r="S73" s="138">
        <f>+O73+P73+Q73+R73</f>
        <v>0.33</v>
      </c>
      <c r="T73" s="142">
        <f>+S73/N73</f>
        <v>1</v>
      </c>
      <c r="U73" s="142">
        <f>+(S73+M73)/L73</f>
        <v>0.33</v>
      </c>
      <c r="V73" s="141"/>
      <c r="W73" s="141"/>
      <c r="X73" s="141"/>
      <c r="Y73" s="141"/>
      <c r="Z73" s="141"/>
      <c r="AA73" s="141"/>
      <c r="AB73" s="141">
        <v>0</v>
      </c>
      <c r="AC73" s="141"/>
      <c r="AD73" s="141"/>
      <c r="AE73" s="141"/>
      <c r="AF73" s="62"/>
      <c r="AG73" s="141" t="s">
        <v>295</v>
      </c>
      <c r="AH73" s="141" t="s">
        <v>216</v>
      </c>
      <c r="AI73" s="141" t="s">
        <v>10</v>
      </c>
      <c r="AJ73" s="141"/>
      <c r="AK73" s="141"/>
      <c r="AL73" s="141" t="s">
        <v>161</v>
      </c>
      <c r="AM73" s="21" t="s">
        <v>185</v>
      </c>
      <c r="AN73" s="16">
        <v>479095059</v>
      </c>
      <c r="AO73" s="22" t="s">
        <v>221</v>
      </c>
      <c r="AP73" s="22" t="s">
        <v>222</v>
      </c>
      <c r="AQ73" s="16">
        <v>366833333</v>
      </c>
      <c r="AR73" s="32">
        <f>+AQ73/AN73</f>
        <v>0.76567964145921197</v>
      </c>
      <c r="AS73" s="64"/>
      <c r="AT73" s="82"/>
      <c r="AU73" s="291"/>
    </row>
    <row r="74" spans="1:47" ht="31" x14ac:dyDescent="0.35">
      <c r="A74" s="57"/>
      <c r="B74" s="57"/>
      <c r="C74" s="53"/>
      <c r="D74" s="53"/>
      <c r="E74" s="53"/>
      <c r="F74" s="210" t="s">
        <v>369</v>
      </c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2"/>
      <c r="T74" s="79">
        <f>+T73</f>
        <v>1</v>
      </c>
      <c r="U74" s="79">
        <f>+U73</f>
        <v>0.33</v>
      </c>
      <c r="V74" s="210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  <c r="AH74" s="212"/>
      <c r="AI74" s="53"/>
      <c r="AJ74" s="53"/>
      <c r="AK74" s="53"/>
      <c r="AL74" s="53"/>
      <c r="AM74" s="90"/>
      <c r="AN74" s="41"/>
      <c r="AO74" s="91"/>
      <c r="AP74" s="91"/>
      <c r="AQ74" s="41"/>
      <c r="AR74" s="56"/>
      <c r="AS74" s="64"/>
      <c r="AT74" s="82"/>
      <c r="AU74" s="75"/>
    </row>
    <row r="75" spans="1:47" ht="31" x14ac:dyDescent="0.35">
      <c r="A75" s="57"/>
      <c r="B75" s="210" t="s">
        <v>370</v>
      </c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2"/>
      <c r="T75" s="79">
        <f>+AVERAGE(T72,T74)</f>
        <v>0.84000000000000008</v>
      </c>
      <c r="U75" s="79">
        <f>+AVERAGE(U72,U74)</f>
        <v>0.33500000000000002</v>
      </c>
      <c r="V75" s="53"/>
      <c r="W75" s="53"/>
      <c r="X75" s="53"/>
      <c r="Y75" s="53"/>
      <c r="Z75" s="53"/>
      <c r="AA75" s="53"/>
      <c r="AB75" s="53"/>
      <c r="AC75" s="53"/>
      <c r="AD75" s="141"/>
      <c r="AE75" s="53"/>
      <c r="AF75" s="62"/>
      <c r="AG75" s="53"/>
      <c r="AH75" s="53"/>
      <c r="AI75" s="53"/>
      <c r="AJ75" s="53"/>
      <c r="AK75" s="53"/>
      <c r="AL75" s="53"/>
      <c r="AM75" s="90"/>
      <c r="AN75" s="41"/>
      <c r="AO75" s="91"/>
      <c r="AP75" s="91"/>
      <c r="AQ75" s="41"/>
      <c r="AR75" s="56"/>
      <c r="AS75" s="64"/>
      <c r="AT75" s="82"/>
      <c r="AU75" s="75"/>
    </row>
    <row r="76" spans="1:47" ht="60.75" customHeight="1" x14ac:dyDescent="0.35">
      <c r="A76" s="218" t="s">
        <v>73</v>
      </c>
      <c r="B76" s="218" t="s">
        <v>248</v>
      </c>
      <c r="C76" s="218" t="s">
        <v>74</v>
      </c>
      <c r="D76" s="284">
        <v>0.33</v>
      </c>
      <c r="E76" s="218" t="s">
        <v>75</v>
      </c>
      <c r="F76" s="218" t="s">
        <v>76</v>
      </c>
      <c r="G76" s="141" t="s">
        <v>77</v>
      </c>
      <c r="H76" s="141"/>
      <c r="I76" s="141"/>
      <c r="J76" s="141" t="s">
        <v>78</v>
      </c>
      <c r="K76" s="141" t="s">
        <v>79</v>
      </c>
      <c r="L76" s="138">
        <v>5</v>
      </c>
      <c r="M76" s="138">
        <v>0.1</v>
      </c>
      <c r="N76" s="138">
        <v>2</v>
      </c>
      <c r="O76" s="138"/>
      <c r="P76" s="138">
        <v>0.05</v>
      </c>
      <c r="Q76" s="138">
        <v>0.3</v>
      </c>
      <c r="R76" s="138">
        <v>0</v>
      </c>
      <c r="S76" s="138">
        <f>+O76+P76+Q76+R76</f>
        <v>0.35</v>
      </c>
      <c r="T76" s="133">
        <f>+S76/N76</f>
        <v>0.17499999999999999</v>
      </c>
      <c r="U76" s="133">
        <f>+(S76+M76)/L76</f>
        <v>0.09</v>
      </c>
      <c r="V76" s="230" t="s">
        <v>142</v>
      </c>
      <c r="W76" s="318">
        <v>2020130010147</v>
      </c>
      <c r="X76" s="230" t="s">
        <v>143</v>
      </c>
      <c r="Y76" s="130" t="s">
        <v>144</v>
      </c>
      <c r="Z76" s="131">
        <v>1</v>
      </c>
      <c r="AA76" s="131"/>
      <c r="AB76" s="131">
        <v>0.5</v>
      </c>
      <c r="AC76" s="131">
        <v>0.1</v>
      </c>
      <c r="AD76" s="139">
        <v>0.2</v>
      </c>
      <c r="AE76" s="131">
        <f>+AA76+AB76+AC76+AD76</f>
        <v>0.8</v>
      </c>
      <c r="AF76" s="119">
        <f>+AE76/Z76</f>
        <v>0.8</v>
      </c>
      <c r="AG76" s="132" t="s">
        <v>295</v>
      </c>
      <c r="AH76" s="131" t="s">
        <v>216</v>
      </c>
      <c r="AI76" s="131" t="s">
        <v>303</v>
      </c>
      <c r="AJ76" s="131"/>
      <c r="AK76" s="131"/>
      <c r="AL76" s="6" t="s">
        <v>223</v>
      </c>
      <c r="AM76" s="203" t="s">
        <v>225</v>
      </c>
      <c r="AN76" s="199">
        <v>1266421569</v>
      </c>
      <c r="AO76" s="199" t="s">
        <v>320</v>
      </c>
      <c r="AP76" s="199" t="s">
        <v>224</v>
      </c>
      <c r="AQ76" s="199">
        <v>777454970.66999996</v>
      </c>
      <c r="AR76" s="201">
        <f>+AQ76/AN76</f>
        <v>0.61389902833374754</v>
      </c>
      <c r="AS76" s="64" t="s">
        <v>312</v>
      </c>
      <c r="AT76" s="64"/>
      <c r="AU76" s="323" t="s">
        <v>341</v>
      </c>
    </row>
    <row r="77" spans="1:47" ht="156.75" customHeight="1" x14ac:dyDescent="0.35">
      <c r="A77" s="218"/>
      <c r="B77" s="218"/>
      <c r="C77" s="218"/>
      <c r="D77" s="284"/>
      <c r="E77" s="218"/>
      <c r="F77" s="218"/>
      <c r="G77" s="217" t="s">
        <v>80</v>
      </c>
      <c r="H77" s="141"/>
      <c r="I77" s="141"/>
      <c r="J77" s="283" t="s">
        <v>81</v>
      </c>
      <c r="K77" s="217" t="s">
        <v>82</v>
      </c>
      <c r="L77" s="230">
        <v>21</v>
      </c>
      <c r="M77" s="230">
        <v>21</v>
      </c>
      <c r="N77" s="230">
        <v>21</v>
      </c>
      <c r="O77" s="203">
        <v>21</v>
      </c>
      <c r="P77" s="230">
        <v>21</v>
      </c>
      <c r="Q77" s="203">
        <v>21</v>
      </c>
      <c r="R77" s="203">
        <v>21</v>
      </c>
      <c r="S77" s="230">
        <f>+O77+P77+Q77+R77</f>
        <v>84</v>
      </c>
      <c r="T77" s="219">
        <v>1</v>
      </c>
      <c r="U77" s="219">
        <v>1</v>
      </c>
      <c r="V77" s="230"/>
      <c r="W77" s="318"/>
      <c r="X77" s="230"/>
      <c r="Y77" s="130" t="s">
        <v>147</v>
      </c>
      <c r="Z77" s="131">
        <v>5</v>
      </c>
      <c r="AA77" s="131"/>
      <c r="AB77" s="131">
        <v>3</v>
      </c>
      <c r="AC77" s="131">
        <v>1</v>
      </c>
      <c r="AD77" s="139">
        <v>1</v>
      </c>
      <c r="AE77" s="131">
        <f>+AA77+AB77+AC77+AD77</f>
        <v>5</v>
      </c>
      <c r="AF77" s="119">
        <f>+AE77/Z77</f>
        <v>1</v>
      </c>
      <c r="AG77" s="131" t="s">
        <v>295</v>
      </c>
      <c r="AH77" s="131" t="s">
        <v>191</v>
      </c>
      <c r="AI77" s="6" t="s">
        <v>305</v>
      </c>
      <c r="AJ77" s="6"/>
      <c r="AK77" s="6"/>
      <c r="AL77" s="6" t="s">
        <v>223</v>
      </c>
      <c r="AM77" s="204"/>
      <c r="AN77" s="200"/>
      <c r="AO77" s="200"/>
      <c r="AP77" s="200"/>
      <c r="AQ77" s="200"/>
      <c r="AR77" s="202"/>
      <c r="AS77" s="64"/>
      <c r="AT77" s="64"/>
      <c r="AU77" s="216"/>
    </row>
    <row r="78" spans="1:47" ht="29" x14ac:dyDescent="0.35">
      <c r="A78" s="218"/>
      <c r="B78" s="218"/>
      <c r="C78" s="218"/>
      <c r="D78" s="284"/>
      <c r="E78" s="218"/>
      <c r="F78" s="218"/>
      <c r="G78" s="217"/>
      <c r="H78" s="141"/>
      <c r="I78" s="141"/>
      <c r="J78" s="283"/>
      <c r="K78" s="217"/>
      <c r="L78" s="230"/>
      <c r="M78" s="230"/>
      <c r="N78" s="230"/>
      <c r="O78" s="204"/>
      <c r="P78" s="230"/>
      <c r="Q78" s="204"/>
      <c r="R78" s="204"/>
      <c r="S78" s="230"/>
      <c r="T78" s="219"/>
      <c r="U78" s="219"/>
      <c r="V78" s="230"/>
      <c r="W78" s="318"/>
      <c r="X78" s="230"/>
      <c r="Y78" s="130" t="s">
        <v>145</v>
      </c>
      <c r="Z78" s="131">
        <v>5</v>
      </c>
      <c r="AA78" s="131"/>
      <c r="AB78" s="131">
        <v>4</v>
      </c>
      <c r="AC78" s="131">
        <v>1</v>
      </c>
      <c r="AD78" s="139">
        <v>0</v>
      </c>
      <c r="AE78" s="131">
        <f>+AA78+AB78+AC78+AD78</f>
        <v>5</v>
      </c>
      <c r="AF78" s="119">
        <f>+AE78/Z78</f>
        <v>1</v>
      </c>
      <c r="AG78" s="4" t="s">
        <v>295</v>
      </c>
      <c r="AH78" s="3" t="s">
        <v>191</v>
      </c>
      <c r="AI78" s="6" t="s">
        <v>186</v>
      </c>
      <c r="AJ78" s="6"/>
      <c r="AK78" s="6"/>
      <c r="AL78" s="3" t="s">
        <v>301</v>
      </c>
      <c r="AM78" s="204"/>
      <c r="AN78" s="200"/>
      <c r="AO78" s="200"/>
      <c r="AP78" s="200"/>
      <c r="AQ78" s="200"/>
      <c r="AR78" s="202"/>
      <c r="AS78" s="64"/>
      <c r="AT78" s="64"/>
      <c r="AU78" s="216"/>
    </row>
    <row r="79" spans="1:47" ht="43.5" x14ac:dyDescent="0.35">
      <c r="A79" s="218"/>
      <c r="B79" s="218"/>
      <c r="C79" s="218"/>
      <c r="D79" s="284"/>
      <c r="E79" s="218"/>
      <c r="F79" s="218"/>
      <c r="G79" s="217"/>
      <c r="H79" s="141"/>
      <c r="I79" s="141"/>
      <c r="J79" s="283"/>
      <c r="K79" s="217"/>
      <c r="L79" s="230"/>
      <c r="M79" s="230"/>
      <c r="N79" s="230"/>
      <c r="O79" s="205"/>
      <c r="P79" s="230"/>
      <c r="Q79" s="205"/>
      <c r="R79" s="205"/>
      <c r="S79" s="230"/>
      <c r="T79" s="219"/>
      <c r="U79" s="219"/>
      <c r="V79" s="230"/>
      <c r="W79" s="318"/>
      <c r="X79" s="230"/>
      <c r="Y79" s="130" t="s">
        <v>146</v>
      </c>
      <c r="Z79" s="131">
        <v>2</v>
      </c>
      <c r="AA79" s="131"/>
      <c r="AB79" s="131">
        <v>2</v>
      </c>
      <c r="AC79" s="131">
        <v>1</v>
      </c>
      <c r="AD79" s="139">
        <v>0</v>
      </c>
      <c r="AE79" s="131">
        <f>+AA79+AB79+AC79+AD79</f>
        <v>3</v>
      </c>
      <c r="AF79" s="119">
        <f>+AE79/Z79</f>
        <v>1.5</v>
      </c>
      <c r="AG79" s="4" t="s">
        <v>295</v>
      </c>
      <c r="AH79" s="3" t="s">
        <v>191</v>
      </c>
      <c r="AI79" s="6" t="s">
        <v>303</v>
      </c>
      <c r="AJ79" s="6"/>
      <c r="AK79" s="6"/>
      <c r="AL79" s="3" t="s">
        <v>223</v>
      </c>
      <c r="AM79" s="204"/>
      <c r="AN79" s="200"/>
      <c r="AO79" s="200"/>
      <c r="AP79" s="200"/>
      <c r="AQ79" s="200"/>
      <c r="AR79" s="202"/>
      <c r="AS79" s="64"/>
      <c r="AT79" s="64"/>
      <c r="AU79" s="216"/>
    </row>
    <row r="80" spans="1:47" ht="60.75" customHeight="1" x14ac:dyDescent="0.35">
      <c r="A80" s="218"/>
      <c r="B80" s="218"/>
      <c r="C80" s="218"/>
      <c r="D80" s="284"/>
      <c r="E80" s="218"/>
      <c r="F80" s="218"/>
      <c r="G80" s="217" t="s">
        <v>83</v>
      </c>
      <c r="H80" s="141"/>
      <c r="I80" s="141"/>
      <c r="J80" s="283" t="s">
        <v>84</v>
      </c>
      <c r="K80" s="217" t="s">
        <v>158</v>
      </c>
      <c r="L80" s="230">
        <v>1</v>
      </c>
      <c r="M80" s="230">
        <v>1</v>
      </c>
      <c r="N80" s="230">
        <v>1</v>
      </c>
      <c r="O80" s="230">
        <v>1</v>
      </c>
      <c r="P80" s="230">
        <v>1</v>
      </c>
      <c r="Q80" s="230">
        <v>1</v>
      </c>
      <c r="R80" s="230">
        <v>1</v>
      </c>
      <c r="S80" s="230">
        <f>+O80+P80+Q80+R80</f>
        <v>4</v>
      </c>
      <c r="T80" s="219">
        <v>1</v>
      </c>
      <c r="U80" s="219">
        <f>+(T80+M80)/2</f>
        <v>1</v>
      </c>
      <c r="V80" s="230"/>
      <c r="W80" s="318"/>
      <c r="X80" s="230"/>
      <c r="Y80" s="230" t="s">
        <v>148</v>
      </c>
      <c r="Z80" s="216">
        <v>2</v>
      </c>
      <c r="AA80" s="289"/>
      <c r="AB80" s="216">
        <v>2</v>
      </c>
      <c r="AC80" s="289">
        <v>0</v>
      </c>
      <c r="AD80" s="289">
        <v>0</v>
      </c>
      <c r="AE80" s="216">
        <f>+AA80+AB80+AC80+AD80</f>
        <v>2</v>
      </c>
      <c r="AF80" s="319">
        <f>+AE80/Z80</f>
        <v>1</v>
      </c>
      <c r="AG80" s="216" t="s">
        <v>295</v>
      </c>
      <c r="AH80" s="216" t="s">
        <v>191</v>
      </c>
      <c r="AI80" s="6" t="s">
        <v>303</v>
      </c>
      <c r="AJ80" s="6"/>
      <c r="AK80" s="6"/>
      <c r="AL80" s="11" t="s">
        <v>223</v>
      </c>
      <c r="AM80" s="204"/>
      <c r="AN80" s="200"/>
      <c r="AO80" s="200"/>
      <c r="AP80" s="200"/>
      <c r="AQ80" s="200"/>
      <c r="AR80" s="202"/>
      <c r="AS80" s="64"/>
      <c r="AT80" s="64"/>
      <c r="AU80" s="216"/>
    </row>
    <row r="81" spans="1:47" ht="90.75" customHeight="1" x14ac:dyDescent="0.35">
      <c r="A81" s="218"/>
      <c r="B81" s="218"/>
      <c r="C81" s="218"/>
      <c r="D81" s="284"/>
      <c r="E81" s="218"/>
      <c r="F81" s="218"/>
      <c r="G81" s="217"/>
      <c r="H81" s="141"/>
      <c r="I81" s="141"/>
      <c r="J81" s="283"/>
      <c r="K81" s="217"/>
      <c r="L81" s="230"/>
      <c r="M81" s="230"/>
      <c r="N81" s="230"/>
      <c r="O81" s="230"/>
      <c r="P81" s="230"/>
      <c r="Q81" s="230"/>
      <c r="R81" s="230"/>
      <c r="S81" s="230"/>
      <c r="T81" s="219"/>
      <c r="U81" s="219"/>
      <c r="V81" s="230"/>
      <c r="W81" s="318"/>
      <c r="X81" s="230"/>
      <c r="Y81" s="230"/>
      <c r="Z81" s="216"/>
      <c r="AA81" s="290"/>
      <c r="AB81" s="216"/>
      <c r="AC81" s="290"/>
      <c r="AD81" s="290"/>
      <c r="AE81" s="216"/>
      <c r="AF81" s="320"/>
      <c r="AG81" s="216"/>
      <c r="AH81" s="216"/>
      <c r="AI81" s="6" t="s">
        <v>303</v>
      </c>
      <c r="AJ81" s="6"/>
      <c r="AK81" s="6"/>
      <c r="AL81" s="11" t="s">
        <v>223</v>
      </c>
      <c r="AM81" s="204" t="s">
        <v>185</v>
      </c>
      <c r="AN81" s="200">
        <v>200000000</v>
      </c>
      <c r="AO81" s="200" t="s">
        <v>381</v>
      </c>
      <c r="AP81" s="195"/>
      <c r="AQ81" s="200">
        <v>200000000</v>
      </c>
      <c r="AR81" s="202">
        <f>+AQ81/AN81</f>
        <v>1</v>
      </c>
      <c r="AS81" s="64"/>
      <c r="AT81" s="64"/>
      <c r="AU81" s="216"/>
    </row>
    <row r="82" spans="1:47" ht="30.75" customHeight="1" x14ac:dyDescent="0.35">
      <c r="A82" s="218"/>
      <c r="B82" s="218"/>
      <c r="C82" s="218"/>
      <c r="D82" s="284"/>
      <c r="E82" s="218"/>
      <c r="F82" s="218"/>
      <c r="G82" s="217"/>
      <c r="H82" s="141"/>
      <c r="I82" s="141"/>
      <c r="J82" s="145" t="s">
        <v>85</v>
      </c>
      <c r="K82" s="141" t="s">
        <v>86</v>
      </c>
      <c r="L82" s="138">
        <v>3</v>
      </c>
      <c r="M82" s="138">
        <v>3</v>
      </c>
      <c r="N82" s="138">
        <v>3</v>
      </c>
      <c r="O82" s="138">
        <v>3</v>
      </c>
      <c r="P82" s="138">
        <v>3</v>
      </c>
      <c r="Q82" s="138">
        <v>3</v>
      </c>
      <c r="R82" s="138">
        <v>3</v>
      </c>
      <c r="S82" s="138">
        <f>+O82+P82+Q82+R82</f>
        <v>12</v>
      </c>
      <c r="T82" s="133">
        <v>1</v>
      </c>
      <c r="U82" s="133">
        <v>1</v>
      </c>
      <c r="V82" s="230"/>
      <c r="W82" s="318"/>
      <c r="X82" s="230"/>
      <c r="Y82" s="230"/>
      <c r="Z82" s="216"/>
      <c r="AA82" s="290"/>
      <c r="AB82" s="216"/>
      <c r="AC82" s="290"/>
      <c r="AD82" s="290"/>
      <c r="AE82" s="216"/>
      <c r="AF82" s="320"/>
      <c r="AG82" s="216"/>
      <c r="AH82" s="216"/>
      <c r="AI82" s="6" t="s">
        <v>303</v>
      </c>
      <c r="AJ82" s="6"/>
      <c r="AK82" s="6"/>
      <c r="AL82" s="11" t="s">
        <v>223</v>
      </c>
      <c r="AM82" s="204"/>
      <c r="AN82" s="200"/>
      <c r="AO82" s="200"/>
      <c r="AP82" s="195"/>
      <c r="AQ82" s="200"/>
      <c r="AR82" s="202"/>
      <c r="AS82" s="64"/>
      <c r="AT82" s="64"/>
      <c r="AU82" s="216"/>
    </row>
    <row r="83" spans="1:47" ht="30.75" customHeight="1" x14ac:dyDescent="0.35">
      <c r="A83" s="218"/>
      <c r="B83" s="218"/>
      <c r="C83" s="218"/>
      <c r="D83" s="284"/>
      <c r="E83" s="218"/>
      <c r="F83" s="218"/>
      <c r="G83" s="217"/>
      <c r="H83" s="141"/>
      <c r="I83" s="141"/>
      <c r="J83" s="145" t="s">
        <v>87</v>
      </c>
      <c r="K83" s="141" t="s">
        <v>88</v>
      </c>
      <c r="L83" s="138">
        <v>7</v>
      </c>
      <c r="M83" s="138">
        <v>1.7</v>
      </c>
      <c r="N83" s="138">
        <v>1</v>
      </c>
      <c r="O83" s="138"/>
      <c r="P83" s="138">
        <v>0.7</v>
      </c>
      <c r="Q83" s="138">
        <v>0.7</v>
      </c>
      <c r="R83" s="138">
        <v>0</v>
      </c>
      <c r="S83" s="138">
        <f>+O83+P83+Q83+R83</f>
        <v>1.4</v>
      </c>
      <c r="T83" s="133">
        <v>1</v>
      </c>
      <c r="U83" s="133">
        <f>+(S83+M83)/L83</f>
        <v>0.44285714285714278</v>
      </c>
      <c r="V83" s="230"/>
      <c r="W83" s="318"/>
      <c r="X83" s="230"/>
      <c r="Y83" s="230"/>
      <c r="Z83" s="216"/>
      <c r="AA83" s="290"/>
      <c r="AB83" s="216"/>
      <c r="AC83" s="290"/>
      <c r="AD83" s="290"/>
      <c r="AE83" s="216"/>
      <c r="AF83" s="320"/>
      <c r="AG83" s="216"/>
      <c r="AH83" s="216"/>
      <c r="AI83" s="6" t="s">
        <v>303</v>
      </c>
      <c r="AJ83" s="6"/>
      <c r="AK83" s="6"/>
      <c r="AL83" s="11" t="s">
        <v>223</v>
      </c>
      <c r="AM83" s="204"/>
      <c r="AN83" s="200"/>
      <c r="AO83" s="200"/>
      <c r="AP83" s="195"/>
      <c r="AQ83" s="200"/>
      <c r="AR83" s="202"/>
      <c r="AS83" s="64"/>
      <c r="AT83" s="64"/>
      <c r="AU83" s="216"/>
    </row>
    <row r="84" spans="1:47" ht="28" x14ac:dyDescent="0.35">
      <c r="A84" s="218"/>
      <c r="B84" s="218"/>
      <c r="C84" s="218"/>
      <c r="D84" s="284"/>
      <c r="E84" s="218"/>
      <c r="F84" s="218"/>
      <c r="G84" s="217"/>
      <c r="H84" s="141"/>
      <c r="I84" s="141"/>
      <c r="J84" s="145" t="s">
        <v>89</v>
      </c>
      <c r="K84" s="141" t="s">
        <v>90</v>
      </c>
      <c r="L84" s="138">
        <v>5</v>
      </c>
      <c r="M84" s="138">
        <v>1</v>
      </c>
      <c r="N84" s="138">
        <v>2</v>
      </c>
      <c r="O84" s="138"/>
      <c r="P84" s="138">
        <v>0</v>
      </c>
      <c r="Q84" s="138">
        <v>0</v>
      </c>
      <c r="R84" s="138">
        <v>0</v>
      </c>
      <c r="S84" s="138">
        <f>+O84+P84+Q84+R84</f>
        <v>0</v>
      </c>
      <c r="T84" s="133"/>
      <c r="U84" s="133">
        <f>+(S84+M84)/L84</f>
        <v>0.2</v>
      </c>
      <c r="V84" s="230"/>
      <c r="W84" s="318"/>
      <c r="X84" s="230"/>
      <c r="Y84" s="230"/>
      <c r="Z84" s="216"/>
      <c r="AA84" s="291"/>
      <c r="AB84" s="216"/>
      <c r="AC84" s="291"/>
      <c r="AD84" s="291"/>
      <c r="AE84" s="216"/>
      <c r="AF84" s="321"/>
      <c r="AG84" s="216"/>
      <c r="AH84" s="216"/>
      <c r="AI84" s="6" t="s">
        <v>303</v>
      </c>
      <c r="AJ84" s="6"/>
      <c r="AK84" s="6"/>
      <c r="AL84" s="11" t="s">
        <v>223</v>
      </c>
      <c r="AM84" s="205"/>
      <c r="AN84" s="206"/>
      <c r="AO84" s="206"/>
      <c r="AP84" s="196"/>
      <c r="AQ84" s="206"/>
      <c r="AR84" s="207"/>
      <c r="AS84" s="64"/>
      <c r="AT84" s="64"/>
      <c r="AU84" s="216"/>
    </row>
    <row r="85" spans="1:47" ht="31" x14ac:dyDescent="0.35">
      <c r="A85" s="218"/>
      <c r="B85" s="218"/>
      <c r="C85" s="218"/>
      <c r="D85" s="284"/>
      <c r="E85" s="218"/>
      <c r="F85" s="218"/>
      <c r="G85" s="141"/>
      <c r="H85" s="141"/>
      <c r="I85" s="141"/>
      <c r="J85" s="145"/>
      <c r="K85" s="141"/>
      <c r="L85" s="138"/>
      <c r="M85" s="138"/>
      <c r="N85" s="138"/>
      <c r="O85" s="138"/>
      <c r="P85" s="138"/>
      <c r="Q85" s="138"/>
      <c r="R85" s="138"/>
      <c r="S85" s="138"/>
      <c r="T85" s="133"/>
      <c r="U85" s="133"/>
      <c r="V85" s="210" t="s">
        <v>375</v>
      </c>
      <c r="W85" s="211"/>
      <c r="X85" s="211"/>
      <c r="Y85" s="211"/>
      <c r="Z85" s="211"/>
      <c r="AA85" s="211"/>
      <c r="AB85" s="211"/>
      <c r="AC85" s="211"/>
      <c r="AD85" s="211"/>
      <c r="AE85" s="212"/>
      <c r="AF85" s="128">
        <f>+AVERAGE(AF76:AF84)</f>
        <v>1.06</v>
      </c>
      <c r="AG85" s="131"/>
      <c r="AH85" s="131"/>
      <c r="AI85" s="6"/>
      <c r="AJ85" s="6"/>
      <c r="AK85" s="6"/>
      <c r="AL85" s="11"/>
      <c r="AM85" s="95"/>
      <c r="AN85" s="101"/>
      <c r="AO85" s="101"/>
      <c r="AP85" s="101"/>
      <c r="AQ85" s="101"/>
      <c r="AR85" s="118"/>
      <c r="AS85" s="64"/>
      <c r="AT85" s="64"/>
      <c r="AU85" s="98"/>
    </row>
    <row r="86" spans="1:47" ht="114.75" customHeight="1" x14ac:dyDescent="0.35">
      <c r="A86" s="218"/>
      <c r="B86" s="218"/>
      <c r="C86" s="218"/>
      <c r="D86" s="284"/>
      <c r="E86" s="218"/>
      <c r="F86" s="218"/>
      <c r="G86" s="141" t="s">
        <v>91</v>
      </c>
      <c r="H86" s="141"/>
      <c r="I86" s="141"/>
      <c r="J86" s="141" t="s">
        <v>92</v>
      </c>
      <c r="K86" s="141" t="s">
        <v>93</v>
      </c>
      <c r="L86" s="138">
        <v>1</v>
      </c>
      <c r="M86" s="138">
        <v>0</v>
      </c>
      <c r="N86" s="138">
        <v>1</v>
      </c>
      <c r="O86" s="78">
        <v>0.76</v>
      </c>
      <c r="P86" s="166">
        <v>0.69799999999999995</v>
      </c>
      <c r="Q86" s="166">
        <v>0.69799999999999995</v>
      </c>
      <c r="R86" s="166">
        <v>0.69799999999999995</v>
      </c>
      <c r="S86" s="166">
        <f>+R86</f>
        <v>0.69799999999999995</v>
      </c>
      <c r="T86" s="142">
        <f>+S86/N86</f>
        <v>0.69799999999999995</v>
      </c>
      <c r="U86" s="142">
        <f>+(S86+M86)/L86</f>
        <v>0.69799999999999995</v>
      </c>
      <c r="V86" s="217" t="s">
        <v>149</v>
      </c>
      <c r="W86" s="217" t="s">
        <v>265</v>
      </c>
      <c r="X86" s="217" t="s">
        <v>150</v>
      </c>
      <c r="Y86" s="141" t="s">
        <v>151</v>
      </c>
      <c r="Z86" s="139">
        <v>3</v>
      </c>
      <c r="AA86" s="139"/>
      <c r="AB86" s="139">
        <v>3</v>
      </c>
      <c r="AC86" s="139">
        <v>3</v>
      </c>
      <c r="AD86" s="139">
        <v>3</v>
      </c>
      <c r="AE86" s="139">
        <f t="shared" ref="AE86:AE92" si="6">+AA86+AB86+AC86+AD86</f>
        <v>9</v>
      </c>
      <c r="AF86" s="119">
        <v>1</v>
      </c>
      <c r="AG86" s="3" t="s">
        <v>295</v>
      </c>
      <c r="AH86" s="3" t="s">
        <v>191</v>
      </c>
      <c r="AI86" s="6" t="s">
        <v>304</v>
      </c>
      <c r="AJ86" s="6"/>
      <c r="AK86" s="6"/>
      <c r="AL86" s="6" t="s">
        <v>302</v>
      </c>
      <c r="AM86" s="230" t="s">
        <v>225</v>
      </c>
      <c r="AN86" s="251">
        <v>449430510</v>
      </c>
      <c r="AO86" s="285" t="s">
        <v>226</v>
      </c>
      <c r="AP86" s="285" t="s">
        <v>321</v>
      </c>
      <c r="AQ86" s="251">
        <v>352649998.67000002</v>
      </c>
      <c r="AR86" s="282">
        <f>+AQ86/AN86</f>
        <v>0.78465967668728143</v>
      </c>
      <c r="AS86" s="72" t="s">
        <v>308</v>
      </c>
      <c r="AT86" s="72"/>
      <c r="AU86" s="323" t="s">
        <v>342</v>
      </c>
    </row>
    <row r="87" spans="1:47" ht="114.75" customHeight="1" x14ac:dyDescent="0.35">
      <c r="A87" s="218"/>
      <c r="B87" s="218"/>
      <c r="C87" s="218"/>
      <c r="D87" s="284"/>
      <c r="E87" s="218"/>
      <c r="F87" s="218"/>
      <c r="G87" s="217" t="s">
        <v>94</v>
      </c>
      <c r="H87" s="141"/>
      <c r="I87" s="141"/>
      <c r="J87" s="217" t="s">
        <v>95</v>
      </c>
      <c r="K87" s="217" t="s">
        <v>96</v>
      </c>
      <c r="L87" s="230">
        <v>3</v>
      </c>
      <c r="M87" s="230">
        <v>3</v>
      </c>
      <c r="N87" s="230">
        <v>3</v>
      </c>
      <c r="O87" s="230"/>
      <c r="P87" s="230">
        <v>3</v>
      </c>
      <c r="Q87" s="230">
        <v>3</v>
      </c>
      <c r="R87" s="230">
        <v>3</v>
      </c>
      <c r="S87" s="230">
        <f>+O87+P87+Q87+R87</f>
        <v>9</v>
      </c>
      <c r="T87" s="219">
        <v>1</v>
      </c>
      <c r="U87" s="219">
        <v>1</v>
      </c>
      <c r="V87" s="217"/>
      <c r="W87" s="217"/>
      <c r="X87" s="217"/>
      <c r="Y87" s="141" t="s">
        <v>152</v>
      </c>
      <c r="Z87" s="139">
        <v>3</v>
      </c>
      <c r="AA87" s="139"/>
      <c r="AB87" s="139">
        <v>1</v>
      </c>
      <c r="AC87" s="139">
        <v>1</v>
      </c>
      <c r="AD87" s="139">
        <v>1</v>
      </c>
      <c r="AE87" s="139">
        <f t="shared" si="6"/>
        <v>3</v>
      </c>
      <c r="AF87" s="119">
        <f>+AE87/Z87</f>
        <v>1</v>
      </c>
      <c r="AG87" s="3" t="s">
        <v>295</v>
      </c>
      <c r="AH87" s="3" t="s">
        <v>191</v>
      </c>
      <c r="AI87" s="6" t="s">
        <v>304</v>
      </c>
      <c r="AJ87" s="6"/>
      <c r="AK87" s="6"/>
      <c r="AL87" s="6" t="s">
        <v>302</v>
      </c>
      <c r="AM87" s="230"/>
      <c r="AN87" s="251"/>
      <c r="AO87" s="285"/>
      <c r="AP87" s="285"/>
      <c r="AQ87" s="251"/>
      <c r="AR87" s="282"/>
      <c r="AS87" s="72" t="s">
        <v>309</v>
      </c>
      <c r="AT87" s="72"/>
      <c r="AU87" s="216"/>
    </row>
    <row r="88" spans="1:47" ht="114.75" customHeight="1" x14ac:dyDescent="0.35">
      <c r="A88" s="218"/>
      <c r="B88" s="218"/>
      <c r="C88" s="218"/>
      <c r="D88" s="284"/>
      <c r="E88" s="218"/>
      <c r="F88" s="218"/>
      <c r="G88" s="217"/>
      <c r="H88" s="141"/>
      <c r="I88" s="141"/>
      <c r="J88" s="217"/>
      <c r="K88" s="217"/>
      <c r="L88" s="230"/>
      <c r="M88" s="230"/>
      <c r="N88" s="230"/>
      <c r="O88" s="230"/>
      <c r="P88" s="230"/>
      <c r="Q88" s="230"/>
      <c r="R88" s="230"/>
      <c r="S88" s="230"/>
      <c r="T88" s="219"/>
      <c r="U88" s="219"/>
      <c r="V88" s="217"/>
      <c r="W88" s="217"/>
      <c r="X88" s="217"/>
      <c r="Y88" s="141" t="s">
        <v>153</v>
      </c>
      <c r="Z88" s="139">
        <v>520</v>
      </c>
      <c r="AA88" s="139"/>
      <c r="AB88" s="139">
        <f>342+80</f>
        <v>422</v>
      </c>
      <c r="AC88" s="139">
        <f>463-AB88</f>
        <v>41</v>
      </c>
      <c r="AD88" s="139">
        <v>47</v>
      </c>
      <c r="AE88" s="139">
        <f t="shared" si="6"/>
        <v>510</v>
      </c>
      <c r="AF88" s="119">
        <f>+AE88/Z88</f>
        <v>0.98076923076923073</v>
      </c>
      <c r="AG88" s="3" t="s">
        <v>295</v>
      </c>
      <c r="AH88" s="3" t="s">
        <v>191</v>
      </c>
      <c r="AI88" s="6" t="s">
        <v>304</v>
      </c>
      <c r="AJ88" s="6"/>
      <c r="AK88" s="6"/>
      <c r="AL88" s="6" t="s">
        <v>302</v>
      </c>
      <c r="AM88" s="230"/>
      <c r="AN88" s="251"/>
      <c r="AO88" s="285"/>
      <c r="AP88" s="285"/>
      <c r="AQ88" s="251"/>
      <c r="AR88" s="282"/>
      <c r="AS88" s="64"/>
      <c r="AT88" s="64"/>
      <c r="AU88" s="216"/>
    </row>
    <row r="89" spans="1:47" ht="114.75" customHeight="1" x14ac:dyDescent="0.35">
      <c r="A89" s="218"/>
      <c r="B89" s="218"/>
      <c r="C89" s="218"/>
      <c r="D89" s="284"/>
      <c r="E89" s="218"/>
      <c r="F89" s="218"/>
      <c r="G89" s="217"/>
      <c r="H89" s="141"/>
      <c r="I89" s="141"/>
      <c r="J89" s="217"/>
      <c r="K89" s="217"/>
      <c r="L89" s="230"/>
      <c r="M89" s="230"/>
      <c r="N89" s="230"/>
      <c r="O89" s="230"/>
      <c r="P89" s="230"/>
      <c r="Q89" s="230"/>
      <c r="R89" s="230"/>
      <c r="S89" s="230"/>
      <c r="T89" s="219"/>
      <c r="U89" s="219"/>
      <c r="V89" s="217"/>
      <c r="W89" s="217"/>
      <c r="X89" s="217"/>
      <c r="Y89" s="141" t="s">
        <v>154</v>
      </c>
      <c r="Z89" s="139">
        <v>4</v>
      </c>
      <c r="AA89" s="139"/>
      <c r="AB89" s="139">
        <v>2</v>
      </c>
      <c r="AC89" s="139">
        <v>2</v>
      </c>
      <c r="AD89" s="139">
        <v>0</v>
      </c>
      <c r="AE89" s="139">
        <f t="shared" si="6"/>
        <v>4</v>
      </c>
      <c r="AF89" s="119">
        <f>+AE89/Z89</f>
        <v>1</v>
      </c>
      <c r="AG89" s="3" t="s">
        <v>295</v>
      </c>
      <c r="AH89" s="3" t="s">
        <v>191</v>
      </c>
      <c r="AI89" s="6" t="s">
        <v>304</v>
      </c>
      <c r="AJ89" s="6"/>
      <c r="AK89" s="6"/>
      <c r="AL89" s="6" t="s">
        <v>302</v>
      </c>
      <c r="AM89" s="230"/>
      <c r="AN89" s="251"/>
      <c r="AO89" s="285"/>
      <c r="AP89" s="285"/>
      <c r="AQ89" s="251"/>
      <c r="AR89" s="282"/>
      <c r="AS89" s="72" t="s">
        <v>310</v>
      </c>
      <c r="AT89" s="72"/>
      <c r="AU89" s="216"/>
    </row>
    <row r="90" spans="1:47" ht="114.75" customHeight="1" x14ac:dyDescent="0.35">
      <c r="A90" s="218"/>
      <c r="B90" s="218"/>
      <c r="C90" s="218"/>
      <c r="D90" s="284"/>
      <c r="E90" s="218"/>
      <c r="F90" s="218"/>
      <c r="G90" s="217"/>
      <c r="H90" s="141"/>
      <c r="I90" s="141"/>
      <c r="J90" s="217"/>
      <c r="K90" s="217"/>
      <c r="L90" s="230"/>
      <c r="M90" s="230"/>
      <c r="N90" s="230"/>
      <c r="O90" s="230"/>
      <c r="P90" s="230"/>
      <c r="Q90" s="230"/>
      <c r="R90" s="230"/>
      <c r="S90" s="230"/>
      <c r="T90" s="219"/>
      <c r="U90" s="219"/>
      <c r="V90" s="217"/>
      <c r="W90" s="217"/>
      <c r="X90" s="217"/>
      <c r="Y90" s="141" t="s">
        <v>155</v>
      </c>
      <c r="Z90" s="139">
        <v>600</v>
      </c>
      <c r="AA90" s="139"/>
      <c r="AB90" s="139">
        <v>381</v>
      </c>
      <c r="AC90" s="139">
        <f>617-AB90</f>
        <v>236</v>
      </c>
      <c r="AD90" s="139">
        <v>4</v>
      </c>
      <c r="AE90" s="139">
        <f t="shared" si="6"/>
        <v>621</v>
      </c>
      <c r="AF90" s="119">
        <v>1</v>
      </c>
      <c r="AG90" s="3" t="s">
        <v>295</v>
      </c>
      <c r="AH90" s="3" t="s">
        <v>191</v>
      </c>
      <c r="AI90" s="6" t="s">
        <v>304</v>
      </c>
      <c r="AJ90" s="6"/>
      <c r="AK90" s="6"/>
      <c r="AL90" s="6" t="s">
        <v>302</v>
      </c>
      <c r="AM90" s="230"/>
      <c r="AN90" s="251"/>
      <c r="AO90" s="285"/>
      <c r="AP90" s="285"/>
      <c r="AQ90" s="251"/>
      <c r="AR90" s="282"/>
      <c r="AS90" s="64" t="s">
        <v>311</v>
      </c>
      <c r="AT90" s="64"/>
      <c r="AU90" s="216"/>
    </row>
    <row r="91" spans="1:47" ht="114.75" customHeight="1" x14ac:dyDescent="0.35">
      <c r="A91" s="218"/>
      <c r="B91" s="218"/>
      <c r="C91" s="218"/>
      <c r="D91" s="284"/>
      <c r="E91" s="218"/>
      <c r="F91" s="218"/>
      <c r="G91" s="217"/>
      <c r="H91" s="141"/>
      <c r="I91" s="141"/>
      <c r="J91" s="217"/>
      <c r="K91" s="217"/>
      <c r="L91" s="230"/>
      <c r="M91" s="230"/>
      <c r="N91" s="230"/>
      <c r="O91" s="230"/>
      <c r="P91" s="230"/>
      <c r="Q91" s="230"/>
      <c r="R91" s="230"/>
      <c r="S91" s="230"/>
      <c r="T91" s="219"/>
      <c r="U91" s="219"/>
      <c r="V91" s="217"/>
      <c r="W91" s="217"/>
      <c r="X91" s="217"/>
      <c r="Y91" s="141" t="s">
        <v>156</v>
      </c>
      <c r="Z91" s="139">
        <v>1</v>
      </c>
      <c r="AA91" s="139"/>
      <c r="AB91" s="139">
        <v>0</v>
      </c>
      <c r="AC91" s="139">
        <v>0</v>
      </c>
      <c r="AD91" s="139">
        <v>0</v>
      </c>
      <c r="AE91" s="139">
        <f t="shared" si="6"/>
        <v>0</v>
      </c>
      <c r="AF91" s="119">
        <f>+AE91/Z91</f>
        <v>0</v>
      </c>
      <c r="AG91" s="3" t="s">
        <v>295</v>
      </c>
      <c r="AH91" s="3" t="s">
        <v>191</v>
      </c>
      <c r="AI91" s="6" t="s">
        <v>304</v>
      </c>
      <c r="AJ91" s="6"/>
      <c r="AK91" s="6"/>
      <c r="AL91" s="6" t="s">
        <v>302</v>
      </c>
      <c r="AM91" s="216" t="s">
        <v>185</v>
      </c>
      <c r="AN91" s="250">
        <v>200000000</v>
      </c>
      <c r="AO91" s="285" t="s">
        <v>226</v>
      </c>
      <c r="AP91" s="248" t="s">
        <v>227</v>
      </c>
      <c r="AQ91" s="216">
        <v>0</v>
      </c>
      <c r="AR91" s="235">
        <f>+AQ91/AN91</f>
        <v>0</v>
      </c>
      <c r="AS91" s="281"/>
      <c r="AT91" s="71"/>
      <c r="AU91" s="216"/>
    </row>
    <row r="92" spans="1:47" ht="56" x14ac:dyDescent="0.35">
      <c r="A92" s="218"/>
      <c r="B92" s="218"/>
      <c r="C92" s="218"/>
      <c r="D92" s="284"/>
      <c r="E92" s="218"/>
      <c r="F92" s="218"/>
      <c r="G92" s="217"/>
      <c r="H92" s="141"/>
      <c r="I92" s="141"/>
      <c r="J92" s="217"/>
      <c r="K92" s="217"/>
      <c r="L92" s="230"/>
      <c r="M92" s="230"/>
      <c r="N92" s="230"/>
      <c r="O92" s="230"/>
      <c r="P92" s="230"/>
      <c r="Q92" s="230"/>
      <c r="R92" s="230"/>
      <c r="S92" s="230"/>
      <c r="T92" s="219"/>
      <c r="U92" s="219"/>
      <c r="V92" s="217"/>
      <c r="W92" s="217"/>
      <c r="X92" s="217"/>
      <c r="Y92" s="141" t="s">
        <v>157</v>
      </c>
      <c r="Z92" s="139">
        <v>30</v>
      </c>
      <c r="AA92" s="139"/>
      <c r="AB92" s="172">
        <v>0.45</v>
      </c>
      <c r="AC92" s="172">
        <v>0.05</v>
      </c>
      <c r="AD92" s="172">
        <v>0.1</v>
      </c>
      <c r="AE92" s="172">
        <f t="shared" si="6"/>
        <v>0.6</v>
      </c>
      <c r="AF92" s="119">
        <f>+AE92/Z92</f>
        <v>0.02</v>
      </c>
      <c r="AG92" s="3" t="s">
        <v>295</v>
      </c>
      <c r="AH92" s="3" t="s">
        <v>191</v>
      </c>
      <c r="AI92" s="6" t="s">
        <v>304</v>
      </c>
      <c r="AJ92" s="6"/>
      <c r="AK92" s="6"/>
      <c r="AL92" s="6" t="s">
        <v>302</v>
      </c>
      <c r="AM92" s="216"/>
      <c r="AN92" s="250"/>
      <c r="AO92" s="285"/>
      <c r="AP92" s="248"/>
      <c r="AQ92" s="216"/>
      <c r="AR92" s="235"/>
      <c r="AS92" s="281"/>
      <c r="AT92" s="71"/>
      <c r="AU92" s="216"/>
    </row>
    <row r="93" spans="1:47" ht="31" x14ac:dyDescent="0.35">
      <c r="A93" s="218"/>
      <c r="B93" s="218"/>
      <c r="C93" s="218"/>
      <c r="D93" s="284"/>
      <c r="E93" s="218"/>
      <c r="F93" s="218"/>
      <c r="G93" s="141"/>
      <c r="H93" s="141"/>
      <c r="I93" s="141"/>
      <c r="J93" s="141"/>
      <c r="K93" s="141"/>
      <c r="L93" s="138"/>
      <c r="M93" s="138"/>
      <c r="N93" s="138"/>
      <c r="O93" s="138"/>
      <c r="P93" s="138"/>
      <c r="Q93" s="138"/>
      <c r="R93" s="138"/>
      <c r="S93" s="138"/>
      <c r="T93" s="142"/>
      <c r="U93" s="142"/>
      <c r="V93" s="210" t="s">
        <v>375</v>
      </c>
      <c r="W93" s="211"/>
      <c r="X93" s="211"/>
      <c r="Y93" s="211"/>
      <c r="Z93" s="211"/>
      <c r="AA93" s="211"/>
      <c r="AB93" s="211"/>
      <c r="AC93" s="211"/>
      <c r="AD93" s="211"/>
      <c r="AE93" s="212"/>
      <c r="AF93" s="173">
        <f>+AVERAGE(AF86:AF92)</f>
        <v>0.71439560439560434</v>
      </c>
      <c r="AG93" s="3"/>
      <c r="AH93" s="3"/>
      <c r="AI93" s="6"/>
      <c r="AJ93" s="6"/>
      <c r="AK93" s="6"/>
      <c r="AL93" s="6"/>
      <c r="AM93" s="98"/>
      <c r="AN93" s="97"/>
      <c r="AO93" s="114"/>
      <c r="AP93" s="99"/>
      <c r="AQ93" s="98"/>
      <c r="AR93" s="100"/>
      <c r="AS93" s="96"/>
      <c r="AT93" s="96"/>
      <c r="AU93" s="98"/>
    </row>
    <row r="94" spans="1:47" ht="143.25" customHeight="1" x14ac:dyDescent="0.35">
      <c r="A94" s="218"/>
      <c r="B94" s="218"/>
      <c r="C94" s="218"/>
      <c r="D94" s="284"/>
      <c r="E94" s="218"/>
      <c r="F94" s="218"/>
      <c r="G94" s="217" t="s">
        <v>97</v>
      </c>
      <c r="H94" s="141"/>
      <c r="I94" s="141"/>
      <c r="J94" s="217" t="s">
        <v>98</v>
      </c>
      <c r="K94" s="217" t="s">
        <v>99</v>
      </c>
      <c r="L94" s="230">
        <v>5</v>
      </c>
      <c r="M94" s="230">
        <f>1+1</f>
        <v>2</v>
      </c>
      <c r="N94" s="230">
        <v>5</v>
      </c>
      <c r="O94" s="230"/>
      <c r="P94" s="230">
        <v>1</v>
      </c>
      <c r="Q94" s="230">
        <v>1</v>
      </c>
      <c r="R94" s="230">
        <v>0</v>
      </c>
      <c r="S94" s="230">
        <f>+O94+P94+Q94+R94</f>
        <v>2</v>
      </c>
      <c r="T94" s="219">
        <f>+S94/N94</f>
        <v>0.4</v>
      </c>
      <c r="U94" s="219">
        <f>+(S94+M94)/L94</f>
        <v>0.8</v>
      </c>
      <c r="V94" s="217" t="s">
        <v>100</v>
      </c>
      <c r="W94" s="217" t="s">
        <v>272</v>
      </c>
      <c r="X94" s="217" t="s">
        <v>143</v>
      </c>
      <c r="Y94" s="7" t="s">
        <v>231</v>
      </c>
      <c r="Z94" s="131">
        <v>4</v>
      </c>
      <c r="AA94" s="131"/>
      <c r="AB94" s="131">
        <v>1</v>
      </c>
      <c r="AC94" s="131">
        <v>1</v>
      </c>
      <c r="AD94" s="139">
        <v>2</v>
      </c>
      <c r="AE94" s="131">
        <f>+AA94+AB94+AC94+AD94</f>
        <v>4</v>
      </c>
      <c r="AF94" s="119">
        <f>+AE94/Z94</f>
        <v>1</v>
      </c>
      <c r="AG94" s="3" t="s">
        <v>295</v>
      </c>
      <c r="AH94" s="3" t="s">
        <v>191</v>
      </c>
      <c r="AI94" s="6" t="s">
        <v>303</v>
      </c>
      <c r="AJ94" s="6"/>
      <c r="AK94" s="6"/>
      <c r="AL94" s="6" t="s">
        <v>223</v>
      </c>
      <c r="AM94" s="216" t="s">
        <v>230</v>
      </c>
      <c r="AN94" s="239">
        <v>107100236</v>
      </c>
      <c r="AO94" s="249" t="s">
        <v>228</v>
      </c>
      <c r="AP94" s="248" t="s">
        <v>229</v>
      </c>
      <c r="AQ94" s="239">
        <v>38119380</v>
      </c>
      <c r="AR94" s="280">
        <f>+AQ94/AN94</f>
        <v>0.35592246500745339</v>
      </c>
      <c r="AS94" s="64"/>
      <c r="AT94" s="64"/>
      <c r="AU94" s="323" t="s">
        <v>341</v>
      </c>
    </row>
    <row r="95" spans="1:47" ht="31" x14ac:dyDescent="0.35">
      <c r="A95" s="218"/>
      <c r="B95" s="218"/>
      <c r="C95" s="218"/>
      <c r="D95" s="284"/>
      <c r="E95" s="218"/>
      <c r="F95" s="218"/>
      <c r="G95" s="217"/>
      <c r="H95" s="141"/>
      <c r="I95" s="141"/>
      <c r="J95" s="217"/>
      <c r="K95" s="217"/>
      <c r="L95" s="230"/>
      <c r="M95" s="230"/>
      <c r="N95" s="230"/>
      <c r="O95" s="230"/>
      <c r="P95" s="230"/>
      <c r="Q95" s="230"/>
      <c r="R95" s="230"/>
      <c r="S95" s="230"/>
      <c r="T95" s="219"/>
      <c r="U95" s="219"/>
      <c r="V95" s="217"/>
      <c r="W95" s="217"/>
      <c r="X95" s="217"/>
      <c r="Y95" s="7" t="s">
        <v>232</v>
      </c>
      <c r="Z95" s="6" t="s">
        <v>216</v>
      </c>
      <c r="AA95" s="6"/>
      <c r="AB95" s="6">
        <v>0</v>
      </c>
      <c r="AC95" s="6"/>
      <c r="AD95" s="138">
        <v>0</v>
      </c>
      <c r="AE95" s="131">
        <f>+AA95+AB95+AC95+AD95</f>
        <v>0</v>
      </c>
      <c r="AF95" s="119">
        <v>0</v>
      </c>
      <c r="AG95" s="6" t="s">
        <v>295</v>
      </c>
      <c r="AH95" s="3" t="s">
        <v>216</v>
      </c>
      <c r="AI95" s="6" t="s">
        <v>303</v>
      </c>
      <c r="AJ95" s="6"/>
      <c r="AK95" s="6"/>
      <c r="AL95" s="6" t="s">
        <v>223</v>
      </c>
      <c r="AM95" s="216"/>
      <c r="AN95" s="239"/>
      <c r="AO95" s="249"/>
      <c r="AP95" s="248"/>
      <c r="AQ95" s="239"/>
      <c r="AR95" s="280"/>
      <c r="AS95" s="64"/>
      <c r="AT95" s="64"/>
      <c r="AU95" s="216"/>
    </row>
    <row r="96" spans="1:47" ht="31" x14ac:dyDescent="0.35">
      <c r="A96" s="218"/>
      <c r="B96" s="218"/>
      <c r="C96" s="218"/>
      <c r="D96" s="284"/>
      <c r="E96" s="218"/>
      <c r="F96" s="218"/>
      <c r="G96" s="217"/>
      <c r="H96" s="141"/>
      <c r="I96" s="141"/>
      <c r="J96" s="217"/>
      <c r="K96" s="217"/>
      <c r="L96" s="230"/>
      <c r="M96" s="230"/>
      <c r="N96" s="230"/>
      <c r="O96" s="230"/>
      <c r="P96" s="230"/>
      <c r="Q96" s="230"/>
      <c r="R96" s="230"/>
      <c r="S96" s="230"/>
      <c r="T96" s="219"/>
      <c r="U96" s="219"/>
      <c r="V96" s="217"/>
      <c r="W96" s="217"/>
      <c r="X96" s="217"/>
      <c r="Y96" s="7" t="s">
        <v>233</v>
      </c>
      <c r="Z96" s="130">
        <v>4</v>
      </c>
      <c r="AA96" s="130"/>
      <c r="AB96" s="130">
        <v>2</v>
      </c>
      <c r="AC96" s="130"/>
      <c r="AD96" s="138">
        <v>2</v>
      </c>
      <c r="AE96" s="131">
        <f>+AA96+AB96+AC96+AD96</f>
        <v>4</v>
      </c>
      <c r="AF96" s="119">
        <f>+AE96/Z96</f>
        <v>1</v>
      </c>
      <c r="AG96" s="6" t="s">
        <v>295</v>
      </c>
      <c r="AH96" s="3" t="s">
        <v>163</v>
      </c>
      <c r="AI96" s="6" t="s">
        <v>303</v>
      </c>
      <c r="AJ96" s="6"/>
      <c r="AK96" s="6"/>
      <c r="AL96" s="6" t="s">
        <v>223</v>
      </c>
      <c r="AM96" s="216"/>
      <c r="AN96" s="239"/>
      <c r="AO96" s="249"/>
      <c r="AP96" s="248"/>
      <c r="AQ96" s="239"/>
      <c r="AR96" s="280"/>
      <c r="AS96" s="64"/>
      <c r="AT96" s="64"/>
      <c r="AU96" s="216"/>
    </row>
    <row r="97" spans="1:47" ht="15.5" x14ac:dyDescent="0.35">
      <c r="A97" s="218"/>
      <c r="B97" s="218"/>
      <c r="C97" s="218"/>
      <c r="D97" s="284"/>
      <c r="E97" s="218"/>
      <c r="F97" s="218"/>
      <c r="G97" s="217"/>
      <c r="H97" s="141"/>
      <c r="I97" s="141"/>
      <c r="J97" s="217"/>
      <c r="K97" s="217"/>
      <c r="L97" s="230"/>
      <c r="M97" s="230"/>
      <c r="N97" s="230"/>
      <c r="O97" s="230"/>
      <c r="P97" s="230"/>
      <c r="Q97" s="230"/>
      <c r="R97" s="230"/>
      <c r="S97" s="230"/>
      <c r="T97" s="219"/>
      <c r="U97" s="219"/>
      <c r="V97" s="217"/>
      <c r="W97" s="217"/>
      <c r="X97" s="217"/>
      <c r="Y97" s="7" t="s">
        <v>234</v>
      </c>
      <c r="Z97" s="134">
        <v>5</v>
      </c>
      <c r="AA97" s="134"/>
      <c r="AB97" s="134">
        <v>0</v>
      </c>
      <c r="AC97" s="134">
        <v>1</v>
      </c>
      <c r="AD97" s="143">
        <v>1</v>
      </c>
      <c r="AE97" s="131">
        <f>+AA97+AB97+AC97+AD97</f>
        <v>2</v>
      </c>
      <c r="AF97" s="119">
        <f>+AE97/Z97</f>
        <v>0.4</v>
      </c>
      <c r="AG97" s="3" t="s">
        <v>295</v>
      </c>
      <c r="AH97" s="3" t="s">
        <v>163</v>
      </c>
      <c r="AI97" s="6" t="s">
        <v>303</v>
      </c>
      <c r="AJ97" s="6"/>
      <c r="AK97" s="6"/>
      <c r="AL97" s="6" t="s">
        <v>223</v>
      </c>
      <c r="AM97" s="216"/>
      <c r="AN97" s="239"/>
      <c r="AO97" s="249"/>
      <c r="AP97" s="248"/>
      <c r="AQ97" s="239"/>
      <c r="AR97" s="280"/>
      <c r="AS97" s="64"/>
      <c r="AT97" s="64"/>
      <c r="AU97" s="216"/>
    </row>
    <row r="98" spans="1:47" ht="46.5" x14ac:dyDescent="0.35">
      <c r="A98" s="218"/>
      <c r="B98" s="218"/>
      <c r="C98" s="218"/>
      <c r="D98" s="284"/>
      <c r="E98" s="218"/>
      <c r="F98" s="218"/>
      <c r="G98" s="217"/>
      <c r="H98" s="141"/>
      <c r="I98" s="141"/>
      <c r="J98" s="217"/>
      <c r="K98" s="217"/>
      <c r="L98" s="230"/>
      <c r="M98" s="230"/>
      <c r="N98" s="230"/>
      <c r="O98" s="230"/>
      <c r="P98" s="230"/>
      <c r="Q98" s="230"/>
      <c r="R98" s="230"/>
      <c r="S98" s="230"/>
      <c r="T98" s="219"/>
      <c r="U98" s="219"/>
      <c r="V98" s="217"/>
      <c r="W98" s="217"/>
      <c r="X98" s="217"/>
      <c r="Y98" s="7" t="s">
        <v>235</v>
      </c>
      <c r="Z98" s="134">
        <v>1</v>
      </c>
      <c r="AA98" s="134"/>
      <c r="AB98" s="134">
        <v>1</v>
      </c>
      <c r="AC98" s="134"/>
      <c r="AD98" s="143"/>
      <c r="AE98" s="131">
        <f>+AA98+AB98+AC98+AD98</f>
        <v>1</v>
      </c>
      <c r="AF98" s="119">
        <f>+AE98/Z98</f>
        <v>1</v>
      </c>
      <c r="AG98" s="3" t="s">
        <v>295</v>
      </c>
      <c r="AH98" s="3" t="s">
        <v>163</v>
      </c>
      <c r="AI98" s="6" t="s">
        <v>303</v>
      </c>
      <c r="AJ98" s="6"/>
      <c r="AK98" s="6"/>
      <c r="AL98" s="6" t="s">
        <v>223</v>
      </c>
      <c r="AM98" s="216"/>
      <c r="AN98" s="239"/>
      <c r="AO98" s="249"/>
      <c r="AP98" s="248"/>
      <c r="AQ98" s="239"/>
      <c r="AR98" s="280"/>
      <c r="AS98" s="64" t="s">
        <v>330</v>
      </c>
      <c r="AT98" s="64"/>
      <c r="AU98" s="216"/>
    </row>
    <row r="99" spans="1:47" ht="31.5" customHeight="1" x14ac:dyDescent="0.35">
      <c r="A99" s="218"/>
      <c r="B99" s="218"/>
      <c r="C99" s="218"/>
      <c r="D99" s="284"/>
      <c r="E99" s="218"/>
      <c r="F99" s="210" t="s">
        <v>371</v>
      </c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2"/>
      <c r="T99" s="142">
        <f>+AVERAGE(T76:T98)</f>
        <v>0.78412499999999996</v>
      </c>
      <c r="U99" s="142">
        <f>+AVERAGE(U76:U98)</f>
        <v>0.69231746031746022</v>
      </c>
      <c r="V99" s="210" t="s">
        <v>375</v>
      </c>
      <c r="W99" s="211"/>
      <c r="X99" s="211"/>
      <c r="Y99" s="211"/>
      <c r="Z99" s="211"/>
      <c r="AA99" s="211"/>
      <c r="AB99" s="211"/>
      <c r="AC99" s="211"/>
      <c r="AD99" s="211"/>
      <c r="AE99" s="212"/>
      <c r="AF99" s="127">
        <f>+ AVERAGE(AF94:AF98)</f>
        <v>0.67999999999999994</v>
      </c>
      <c r="AG99" s="123"/>
      <c r="AH99" s="124"/>
      <c r="AI99" s="6"/>
      <c r="AJ99" s="6"/>
      <c r="AK99" s="6"/>
      <c r="AL99" s="6"/>
      <c r="AM99" s="43"/>
      <c r="AN99" s="60"/>
      <c r="AO99" s="61"/>
      <c r="AP99" s="45"/>
      <c r="AQ99" s="42"/>
      <c r="AR99" s="34"/>
      <c r="AS99" s="64"/>
      <c r="AT99" s="64"/>
      <c r="AU99" s="216"/>
    </row>
    <row r="100" spans="1:47" ht="60.75" customHeight="1" x14ac:dyDescent="0.35">
      <c r="A100" s="218"/>
      <c r="B100" s="218"/>
      <c r="C100" s="218"/>
      <c r="D100" s="284"/>
      <c r="E100" s="218"/>
      <c r="F100" s="218" t="s">
        <v>101</v>
      </c>
      <c r="G100" s="141" t="s">
        <v>102</v>
      </c>
      <c r="H100" s="141"/>
      <c r="I100" s="141"/>
      <c r="J100" s="141">
        <v>0</v>
      </c>
      <c r="K100" s="141" t="s">
        <v>103</v>
      </c>
      <c r="L100" s="138">
        <v>5</v>
      </c>
      <c r="M100" s="138">
        <v>1</v>
      </c>
      <c r="N100" s="138">
        <v>2</v>
      </c>
      <c r="O100" s="138"/>
      <c r="P100" s="138">
        <v>0</v>
      </c>
      <c r="Q100" s="138">
        <v>0</v>
      </c>
      <c r="R100" s="138">
        <v>1</v>
      </c>
      <c r="S100" s="138">
        <f>+O100+P100+Q100+R100</f>
        <v>1</v>
      </c>
      <c r="T100" s="133">
        <f>+S100/N100</f>
        <v>0.5</v>
      </c>
      <c r="U100" s="133">
        <f>+(S100+M100)/L100</f>
        <v>0.4</v>
      </c>
      <c r="V100" s="230" t="s">
        <v>104</v>
      </c>
      <c r="W100" s="230" t="s">
        <v>266</v>
      </c>
      <c r="X100" s="230" t="s">
        <v>239</v>
      </c>
      <c r="Y100" s="14" t="s">
        <v>240</v>
      </c>
      <c r="Z100" s="134">
        <v>1</v>
      </c>
      <c r="AA100" s="134"/>
      <c r="AB100" s="134">
        <v>1</v>
      </c>
      <c r="AC100" s="134"/>
      <c r="AD100" s="143">
        <v>0</v>
      </c>
      <c r="AE100" s="131">
        <f>+AA100+AB100+AC100+AD100</f>
        <v>1</v>
      </c>
      <c r="AF100" s="119">
        <f>+AE100/Z100</f>
        <v>1</v>
      </c>
      <c r="AG100" s="3" t="s">
        <v>295</v>
      </c>
      <c r="AH100" s="3" t="s">
        <v>163</v>
      </c>
      <c r="AI100" s="11" t="s">
        <v>303</v>
      </c>
      <c r="AJ100" s="11"/>
      <c r="AK100" s="11"/>
      <c r="AL100" s="6" t="s">
        <v>223</v>
      </c>
      <c r="AM100" s="216" t="s">
        <v>185</v>
      </c>
      <c r="AN100" s="250">
        <v>59262131</v>
      </c>
      <c r="AO100" s="249" t="s">
        <v>246</v>
      </c>
      <c r="AP100" s="322" t="s">
        <v>247</v>
      </c>
      <c r="AQ100" s="216">
        <v>34133333</v>
      </c>
      <c r="AR100" s="235">
        <f>+AQ100/AN100</f>
        <v>0.57597208240790398</v>
      </c>
      <c r="AS100" s="64"/>
      <c r="AT100" s="64"/>
      <c r="AU100" s="216"/>
    </row>
    <row r="101" spans="1:47" ht="43.5" x14ac:dyDescent="0.35">
      <c r="A101" s="218"/>
      <c r="B101" s="218"/>
      <c r="C101" s="218"/>
      <c r="D101" s="284"/>
      <c r="E101" s="218"/>
      <c r="F101" s="218"/>
      <c r="G101" s="217" t="s">
        <v>105</v>
      </c>
      <c r="H101" s="141"/>
      <c r="I101" s="141"/>
      <c r="J101" s="217">
        <v>0</v>
      </c>
      <c r="K101" s="217" t="s">
        <v>106</v>
      </c>
      <c r="L101" s="230">
        <v>5</v>
      </c>
      <c r="M101" s="230">
        <v>1</v>
      </c>
      <c r="N101" s="230">
        <v>2</v>
      </c>
      <c r="O101" s="203"/>
      <c r="P101" s="230">
        <v>0</v>
      </c>
      <c r="Q101" s="203">
        <v>0</v>
      </c>
      <c r="R101" s="203">
        <v>1</v>
      </c>
      <c r="S101" s="230">
        <f>+O101+P101+Q101+R101</f>
        <v>1</v>
      </c>
      <c r="T101" s="219">
        <f>+S101/N101</f>
        <v>0.5</v>
      </c>
      <c r="U101" s="219">
        <f>+(S101+M101)/L101</f>
        <v>0.4</v>
      </c>
      <c r="V101" s="230"/>
      <c r="W101" s="230"/>
      <c r="X101" s="230"/>
      <c r="Y101" s="5" t="s">
        <v>241</v>
      </c>
      <c r="Z101" s="134">
        <v>1</v>
      </c>
      <c r="AA101" s="134"/>
      <c r="AB101" s="134">
        <v>0</v>
      </c>
      <c r="AC101" s="134">
        <v>1</v>
      </c>
      <c r="AD101" s="143">
        <v>0</v>
      </c>
      <c r="AE101" s="189">
        <f>+AA101+AB101+AC101+AD101</f>
        <v>1</v>
      </c>
      <c r="AF101" s="119">
        <f>+AE101/Z101</f>
        <v>1</v>
      </c>
      <c r="AG101" s="3" t="s">
        <v>295</v>
      </c>
      <c r="AH101" s="3" t="s">
        <v>163</v>
      </c>
      <c r="AI101" s="11" t="s">
        <v>303</v>
      </c>
      <c r="AJ101" s="11"/>
      <c r="AK101" s="11"/>
      <c r="AL101" s="6" t="s">
        <v>223</v>
      </c>
      <c r="AM101" s="216"/>
      <c r="AN101" s="250"/>
      <c r="AO101" s="249"/>
      <c r="AP101" s="322"/>
      <c r="AQ101" s="216"/>
      <c r="AR101" s="235"/>
      <c r="AS101" s="64"/>
      <c r="AT101" s="64"/>
      <c r="AU101" s="216"/>
    </row>
    <row r="102" spans="1:47" ht="58" x14ac:dyDescent="0.35">
      <c r="A102" s="218"/>
      <c r="B102" s="218"/>
      <c r="C102" s="218"/>
      <c r="D102" s="284"/>
      <c r="E102" s="218"/>
      <c r="F102" s="218"/>
      <c r="G102" s="217"/>
      <c r="H102" s="141"/>
      <c r="I102" s="141"/>
      <c r="J102" s="217"/>
      <c r="K102" s="217"/>
      <c r="L102" s="230"/>
      <c r="M102" s="230"/>
      <c r="N102" s="230"/>
      <c r="O102" s="204"/>
      <c r="P102" s="230"/>
      <c r="Q102" s="204"/>
      <c r="R102" s="204"/>
      <c r="S102" s="230"/>
      <c r="T102" s="219"/>
      <c r="U102" s="219"/>
      <c r="V102" s="230"/>
      <c r="W102" s="230"/>
      <c r="X102" s="230"/>
      <c r="Y102" s="5" t="s">
        <v>242</v>
      </c>
      <c r="Z102" s="134">
        <v>1</v>
      </c>
      <c r="AA102" s="134"/>
      <c r="AB102" s="134">
        <v>0</v>
      </c>
      <c r="AC102" s="134"/>
      <c r="AD102" s="143">
        <v>1</v>
      </c>
      <c r="AE102" s="189">
        <f>+AA102+AB102+AC102+AD102</f>
        <v>1</v>
      </c>
      <c r="AF102" s="119">
        <f>+AE102/Z102</f>
        <v>1</v>
      </c>
      <c r="AG102" s="3" t="s">
        <v>244</v>
      </c>
      <c r="AH102" s="3" t="s">
        <v>163</v>
      </c>
      <c r="AI102" s="11" t="s">
        <v>303</v>
      </c>
      <c r="AJ102" s="11"/>
      <c r="AK102" s="11"/>
      <c r="AL102" s="6" t="s">
        <v>223</v>
      </c>
      <c r="AM102" s="216"/>
      <c r="AN102" s="250"/>
      <c r="AO102" s="249"/>
      <c r="AP102" s="322"/>
      <c r="AQ102" s="216"/>
      <c r="AR102" s="235"/>
      <c r="AS102" s="64"/>
      <c r="AT102" s="64"/>
      <c r="AU102" s="216"/>
    </row>
    <row r="103" spans="1:47" ht="58" x14ac:dyDescent="0.35">
      <c r="A103" s="218"/>
      <c r="B103" s="218"/>
      <c r="C103" s="218"/>
      <c r="D103" s="284"/>
      <c r="E103" s="218"/>
      <c r="F103" s="218"/>
      <c r="G103" s="217"/>
      <c r="H103" s="141"/>
      <c r="I103" s="141"/>
      <c r="J103" s="217"/>
      <c r="K103" s="217"/>
      <c r="L103" s="230"/>
      <c r="M103" s="230"/>
      <c r="N103" s="230"/>
      <c r="O103" s="205"/>
      <c r="P103" s="230"/>
      <c r="Q103" s="205"/>
      <c r="R103" s="205"/>
      <c r="S103" s="230"/>
      <c r="T103" s="219"/>
      <c r="U103" s="219"/>
      <c r="V103" s="230"/>
      <c r="W103" s="230"/>
      <c r="X103" s="230"/>
      <c r="Y103" s="5" t="s">
        <v>243</v>
      </c>
      <c r="Z103" s="134">
        <v>1</v>
      </c>
      <c r="AA103" s="134"/>
      <c r="AB103" s="134">
        <v>0</v>
      </c>
      <c r="AC103" s="134"/>
      <c r="AD103" s="143">
        <v>0</v>
      </c>
      <c r="AE103" s="189">
        <f>+AA103+AB103+AC103+AD103</f>
        <v>0</v>
      </c>
      <c r="AF103" s="119">
        <f>+AE103/Z103</f>
        <v>0</v>
      </c>
      <c r="AG103" s="3" t="s">
        <v>244</v>
      </c>
      <c r="AH103" s="3" t="s">
        <v>163</v>
      </c>
      <c r="AI103" s="11" t="s">
        <v>303</v>
      </c>
      <c r="AJ103" s="11"/>
      <c r="AK103" s="11"/>
      <c r="AL103" s="6" t="s">
        <v>223</v>
      </c>
      <c r="AM103" s="216"/>
      <c r="AN103" s="250"/>
      <c r="AO103" s="249"/>
      <c r="AP103" s="322"/>
      <c r="AQ103" s="216"/>
      <c r="AR103" s="235"/>
      <c r="AS103" s="64"/>
      <c r="AT103" s="64"/>
      <c r="AU103" s="216"/>
    </row>
    <row r="104" spans="1:47" ht="31" x14ac:dyDescent="0.35">
      <c r="F104" s="210" t="s">
        <v>372</v>
      </c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2"/>
      <c r="T104" s="120">
        <f>+AVERAGE(T100:T103)</f>
        <v>0.5</v>
      </c>
      <c r="U104" s="120">
        <f>+AVERAGE(U100:U103)</f>
        <v>0.4</v>
      </c>
      <c r="V104" s="210" t="s">
        <v>375</v>
      </c>
      <c r="W104" s="211"/>
      <c r="X104" s="211"/>
      <c r="Y104" s="211"/>
      <c r="Z104" s="211"/>
      <c r="AA104" s="211"/>
      <c r="AB104" s="211"/>
      <c r="AC104" s="211"/>
      <c r="AD104" s="211"/>
      <c r="AE104" s="212"/>
      <c r="AF104" s="127">
        <f>+AVERAGE(AF100:AF103)</f>
        <v>0.75</v>
      </c>
      <c r="AG104" s="123"/>
      <c r="AH104" s="124"/>
      <c r="AO104" s="8"/>
      <c r="AP104" s="8"/>
    </row>
    <row r="105" spans="1:47" ht="33.5" x14ac:dyDescent="0.75">
      <c r="B105" s="210" t="s">
        <v>373</v>
      </c>
      <c r="C105" s="211"/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2"/>
      <c r="T105" s="163">
        <f>+AVERAGE(T99,T104)</f>
        <v>0.64206249999999998</v>
      </c>
      <c r="U105" s="163">
        <f>+AVERAGE(U99,U104)</f>
        <v>0.54615873015873007</v>
      </c>
      <c r="AD105" s="2"/>
      <c r="AF105" s="163"/>
      <c r="AO105" s="8"/>
      <c r="AP105" s="8"/>
      <c r="AR105" s="198">
        <v>0.7</v>
      </c>
    </row>
    <row r="106" spans="1:47" x14ac:dyDescent="0.35">
      <c r="U106" s="122"/>
      <c r="AO106" s="8"/>
      <c r="AP106" s="8"/>
    </row>
    <row r="107" spans="1:47" x14ac:dyDescent="0.35">
      <c r="AO107" s="8"/>
      <c r="AP107" s="8"/>
    </row>
    <row r="108" spans="1:47" ht="134" x14ac:dyDescent="0.75">
      <c r="L108" s="213" t="s">
        <v>377</v>
      </c>
      <c r="M108" s="214"/>
      <c r="N108" s="214"/>
      <c r="O108" s="214"/>
      <c r="P108" s="214"/>
      <c r="Q108" s="214"/>
      <c r="R108" s="214"/>
      <c r="S108" s="215"/>
      <c r="T108" s="129">
        <f>+AVERAGE(T11,T40,T69,T75,T105)</f>
        <v>0.61079360130675919</v>
      </c>
      <c r="U108" s="129">
        <f>+AVERAGE(U11,U40,U69,U75,U105)</f>
        <v>0.41568174603174601</v>
      </c>
      <c r="V108" s="92"/>
      <c r="W108" s="92"/>
      <c r="X108" s="213" t="s">
        <v>378</v>
      </c>
      <c r="Y108" s="214"/>
      <c r="Z108" s="214"/>
      <c r="AA108" s="214"/>
      <c r="AB108" s="214"/>
      <c r="AC108" s="214"/>
      <c r="AD108" s="215"/>
      <c r="AE108" s="93" t="s">
        <v>374</v>
      </c>
      <c r="AF108" s="94">
        <f>+AVERAGE(AF15,AF27,AF33,AF50,AF60,AF65,AF68,AF85,AF93,AF99,AF104)</f>
        <v>0.65770151322917825</v>
      </c>
      <c r="AG108" s="94"/>
      <c r="AH108" s="92"/>
      <c r="AI108" s="92"/>
      <c r="AJ108" s="92"/>
      <c r="AK108" s="92"/>
      <c r="AL108" s="92"/>
      <c r="AM108" s="92"/>
      <c r="AN108" s="92"/>
      <c r="AO108" s="92"/>
      <c r="AP108" s="8"/>
    </row>
    <row r="109" spans="1:47" x14ac:dyDescent="0.35">
      <c r="AO109" s="8"/>
      <c r="AP109" s="8"/>
    </row>
    <row r="110" spans="1:47" x14ac:dyDescent="0.35">
      <c r="AO110" s="8"/>
      <c r="AP110" s="8"/>
    </row>
    <row r="111" spans="1:47" x14ac:dyDescent="0.35">
      <c r="AO111" s="8"/>
      <c r="AP111" s="8"/>
    </row>
    <row r="112" spans="1:47" x14ac:dyDescent="0.35">
      <c r="AO112" s="8"/>
      <c r="AP112" s="8"/>
    </row>
    <row r="113" spans="41:42" x14ac:dyDescent="0.35">
      <c r="AO113" s="8"/>
      <c r="AP113" s="8"/>
    </row>
    <row r="114" spans="41:42" x14ac:dyDescent="0.35">
      <c r="AO114" s="8"/>
      <c r="AP114" s="8"/>
    </row>
    <row r="115" spans="41:42" x14ac:dyDescent="0.35">
      <c r="AO115" s="8"/>
      <c r="AP115" s="8"/>
    </row>
    <row r="116" spans="41:42" x14ac:dyDescent="0.35">
      <c r="AO116" s="8"/>
      <c r="AP116" s="8"/>
    </row>
    <row r="117" spans="41:42" x14ac:dyDescent="0.35">
      <c r="AO117" s="8"/>
      <c r="AP117" s="8"/>
    </row>
  </sheetData>
  <autoFilter ref="A3:AQ103" xr:uid="{A5615071-7C00-4449-A9E6-9BA3282131CE}"/>
  <mergeCells count="501">
    <mergeCell ref="Q77:Q79"/>
    <mergeCell ref="R77:R79"/>
    <mergeCell ref="O101:O103"/>
    <mergeCell ref="Q101:Q103"/>
    <mergeCell ref="R101:R103"/>
    <mergeCell ref="O80:O81"/>
    <mergeCell ref="Q80:Q81"/>
    <mergeCell ref="R80:R81"/>
    <mergeCell ref="O87:O92"/>
    <mergeCell ref="Q87:Q92"/>
    <mergeCell ref="R87:R92"/>
    <mergeCell ref="O94:O98"/>
    <mergeCell ref="Q94:Q98"/>
    <mergeCell ref="R94:R98"/>
    <mergeCell ref="P80:P81"/>
    <mergeCell ref="P94:P98"/>
    <mergeCell ref="P101:P103"/>
    <mergeCell ref="P77:P79"/>
    <mergeCell ref="AU4:AU38"/>
    <mergeCell ref="AU41:AU49"/>
    <mergeCell ref="AU51:AU59"/>
    <mergeCell ref="AU61:AU64"/>
    <mergeCell ref="AU76:AU84"/>
    <mergeCell ref="AU86:AU92"/>
    <mergeCell ref="AU94:AU103"/>
    <mergeCell ref="AU66:AU73"/>
    <mergeCell ref="AQ13:AQ14"/>
    <mergeCell ref="AQ34:AQ38"/>
    <mergeCell ref="AQ51:AQ57"/>
    <mergeCell ref="AQ58:AQ59"/>
    <mergeCell ref="AQ61:AQ62"/>
    <mergeCell ref="AQ63:AQ64"/>
    <mergeCell ref="AQ66:AQ67"/>
    <mergeCell ref="AQ70:AQ71"/>
    <mergeCell ref="AR63:AR64"/>
    <mergeCell ref="AR66:AR67"/>
    <mergeCell ref="AR70:AR71"/>
    <mergeCell ref="AR86:AR90"/>
    <mergeCell ref="AR91:AR92"/>
    <mergeCell ref="AR13:AR14"/>
    <mergeCell ref="AR21:AR26"/>
    <mergeCell ref="AO13:AO14"/>
    <mergeCell ref="AP100:AP103"/>
    <mergeCell ref="AP13:AP14"/>
    <mergeCell ref="AN94:AN98"/>
    <mergeCell ref="AO94:AO98"/>
    <mergeCell ref="AP94:AP98"/>
    <mergeCell ref="AP61:AP62"/>
    <mergeCell ref="AO61:AO62"/>
    <mergeCell ref="AP63:AP64"/>
    <mergeCell ref="AO63:AO64"/>
    <mergeCell ref="AN61:AN62"/>
    <mergeCell ref="AN63:AN64"/>
    <mergeCell ref="AO66:AO67"/>
    <mergeCell ref="AP66:AP67"/>
    <mergeCell ref="AN70:AN71"/>
    <mergeCell ref="AN66:AN67"/>
    <mergeCell ref="AN76:AN80"/>
    <mergeCell ref="AO76:AO80"/>
    <mergeCell ref="AP76:AP80"/>
    <mergeCell ref="AH16:AH19"/>
    <mergeCell ref="Y34:Y38"/>
    <mergeCell ref="AM91:AM92"/>
    <mergeCell ref="X51:X59"/>
    <mergeCell ref="AM94:AM98"/>
    <mergeCell ref="AE34:AE38"/>
    <mergeCell ref="AF34:AF38"/>
    <mergeCell ref="AF80:AF84"/>
    <mergeCell ref="V85:AE85"/>
    <mergeCell ref="V93:AE93"/>
    <mergeCell ref="X94:X98"/>
    <mergeCell ref="W94:W98"/>
    <mergeCell ref="W28:W32"/>
    <mergeCell ref="AG16:AG19"/>
    <mergeCell ref="AM66:AM67"/>
    <mergeCell ref="AH70:AH71"/>
    <mergeCell ref="AH7:AH9"/>
    <mergeCell ref="Z7:Z9"/>
    <mergeCell ref="AG34:AG38"/>
    <mergeCell ref="AH66:AH67"/>
    <mergeCell ref="AM13:AM14"/>
    <mergeCell ref="AB70:AB71"/>
    <mergeCell ref="AB80:AB84"/>
    <mergeCell ref="AM34:AM38"/>
    <mergeCell ref="AM21:AM26"/>
    <mergeCell ref="AH34:AH38"/>
    <mergeCell ref="AG66:AG67"/>
    <mergeCell ref="V50:AE50"/>
    <mergeCell ref="W70:W71"/>
    <mergeCell ref="X70:X71"/>
    <mergeCell ref="Z70:Z71"/>
    <mergeCell ref="V70:V71"/>
    <mergeCell ref="V76:V84"/>
    <mergeCell ref="Y80:Y84"/>
    <mergeCell ref="V41:V49"/>
    <mergeCell ref="V34:V38"/>
    <mergeCell ref="X41:X49"/>
    <mergeCell ref="AG28:AG32"/>
    <mergeCell ref="X17:X19"/>
    <mergeCell ref="W16:W19"/>
    <mergeCell ref="M101:M103"/>
    <mergeCell ref="G77:G79"/>
    <mergeCell ref="O77:O79"/>
    <mergeCell ref="S101:S103"/>
    <mergeCell ref="T101:T103"/>
    <mergeCell ref="AO91:AO92"/>
    <mergeCell ref="AP70:AP71"/>
    <mergeCell ref="AN13:AN14"/>
    <mergeCell ref="AN100:AN103"/>
    <mergeCell ref="AP86:AP90"/>
    <mergeCell ref="AO86:AO90"/>
    <mergeCell ref="AP51:AP57"/>
    <mergeCell ref="AO34:AO38"/>
    <mergeCell ref="AP34:AP38"/>
    <mergeCell ref="AN34:AN38"/>
    <mergeCell ref="AO21:AO26"/>
    <mergeCell ref="AP58:AP59"/>
    <mergeCell ref="V51:V59"/>
    <mergeCell ref="AB17:AB19"/>
    <mergeCell ref="AB34:AB38"/>
    <mergeCell ref="AM100:AM103"/>
    <mergeCell ref="V86:V92"/>
    <mergeCell ref="X76:X84"/>
    <mergeCell ref="AM86:AM90"/>
    <mergeCell ref="A76:A103"/>
    <mergeCell ref="X100:X103"/>
    <mergeCell ref="X61:X64"/>
    <mergeCell ref="W66:W67"/>
    <mergeCell ref="AM63:AM64"/>
    <mergeCell ref="AM61:AM62"/>
    <mergeCell ref="E70:E73"/>
    <mergeCell ref="F70:F71"/>
    <mergeCell ref="N61:N64"/>
    <mergeCell ref="L61:L64"/>
    <mergeCell ref="F76:F98"/>
    <mergeCell ref="G94:G98"/>
    <mergeCell ref="J94:J98"/>
    <mergeCell ref="K94:K98"/>
    <mergeCell ref="L94:L98"/>
    <mergeCell ref="N94:N98"/>
    <mergeCell ref="N87:N92"/>
    <mergeCell ref="L87:L92"/>
    <mergeCell ref="W76:W84"/>
    <mergeCell ref="V61:V64"/>
    <mergeCell ref="W61:W64"/>
    <mergeCell ref="V100:V103"/>
    <mergeCell ref="W100:W103"/>
    <mergeCell ref="E76:E103"/>
    <mergeCell ref="O51:O58"/>
    <mergeCell ref="Q51:Q58"/>
    <mergeCell ref="R51:R58"/>
    <mergeCell ref="AH21:AH26"/>
    <mergeCell ref="AH28:AH32"/>
    <mergeCell ref="G80:G84"/>
    <mergeCell ref="J80:J81"/>
    <mergeCell ref="K80:K81"/>
    <mergeCell ref="L80:L81"/>
    <mergeCell ref="N80:N81"/>
    <mergeCell ref="L77:L79"/>
    <mergeCell ref="N77:N79"/>
    <mergeCell ref="L51:L58"/>
    <mergeCell ref="W51:W59"/>
    <mergeCell ref="N51:N58"/>
    <mergeCell ref="U61:U64"/>
    <mergeCell ref="S51:S58"/>
    <mergeCell ref="T51:T58"/>
    <mergeCell ref="U51:U58"/>
    <mergeCell ref="G51:G58"/>
    <mergeCell ref="J51:J58"/>
    <mergeCell ref="P41:P42"/>
    <mergeCell ref="P44:P46"/>
    <mergeCell ref="O61:O64"/>
    <mergeCell ref="O41:O42"/>
    <mergeCell ref="Q41:Q42"/>
    <mergeCell ref="R41:R42"/>
    <mergeCell ref="O44:O46"/>
    <mergeCell ref="Q44:Q46"/>
    <mergeCell ref="R44:R46"/>
    <mergeCell ref="O47:O49"/>
    <mergeCell ref="Q47:Q49"/>
    <mergeCell ref="R47:R49"/>
    <mergeCell ref="P51:P58"/>
    <mergeCell ref="Q61:Q64"/>
    <mergeCell ref="S61:S64"/>
    <mergeCell ref="T61:T64"/>
    <mergeCell ref="S41:S42"/>
    <mergeCell ref="T41:T42"/>
    <mergeCell ref="U41:U42"/>
    <mergeCell ref="P34:P38"/>
    <mergeCell ref="P47:P49"/>
    <mergeCell ref="S44:S46"/>
    <mergeCell ref="S47:S49"/>
    <mergeCell ref="AA34:AA38"/>
    <mergeCell ref="AC34:AC38"/>
    <mergeCell ref="AD34:AD38"/>
    <mergeCell ref="V39:AE40"/>
    <mergeCell ref="AF39:AF40"/>
    <mergeCell ref="Z34:Z38"/>
    <mergeCell ref="W41:W49"/>
    <mergeCell ref="T47:T49"/>
    <mergeCell ref="U47:U49"/>
    <mergeCell ref="T44:T46"/>
    <mergeCell ref="S34:S38"/>
    <mergeCell ref="T34:T38"/>
    <mergeCell ref="U34:U38"/>
    <mergeCell ref="U44:U46"/>
    <mergeCell ref="AF10:AF11"/>
    <mergeCell ref="V12:V14"/>
    <mergeCell ref="Z17:Z19"/>
    <mergeCell ref="AE17:AE19"/>
    <mergeCell ref="AF17:AF19"/>
    <mergeCell ref="Y17:Y19"/>
    <mergeCell ref="AG7:AG9"/>
    <mergeCell ref="W12:W14"/>
    <mergeCell ref="R28:R32"/>
    <mergeCell ref="W7:W9"/>
    <mergeCell ref="AE7:AE9"/>
    <mergeCell ref="AF7:AF9"/>
    <mergeCell ref="AB7:AB9"/>
    <mergeCell ref="S7:S9"/>
    <mergeCell ref="T7:T9"/>
    <mergeCell ref="U7:U9"/>
    <mergeCell ref="AC7:AC9"/>
    <mergeCell ref="AD7:AD9"/>
    <mergeCell ref="W21:W26"/>
    <mergeCell ref="Y7:Y9"/>
    <mergeCell ref="AG21:AG26"/>
    <mergeCell ref="X7:X9"/>
    <mergeCell ref="V16:V19"/>
    <mergeCell ref="S17:S19"/>
    <mergeCell ref="P28:P32"/>
    <mergeCell ref="N7:N9"/>
    <mergeCell ref="P17:P19"/>
    <mergeCell ref="A4:A38"/>
    <mergeCell ref="V10:AE11"/>
    <mergeCell ref="V15:AE15"/>
    <mergeCell ref="V20:AE20"/>
    <mergeCell ref="AA17:AA19"/>
    <mergeCell ref="AC17:AC19"/>
    <mergeCell ref="AD17:AD19"/>
    <mergeCell ref="X28:X32"/>
    <mergeCell ref="X34:X38"/>
    <mergeCell ref="W34:W38"/>
    <mergeCell ref="V7:V9"/>
    <mergeCell ref="G21:G26"/>
    <mergeCell ref="J21:J26"/>
    <mergeCell ref="K21:K26"/>
    <mergeCell ref="G28:G32"/>
    <mergeCell ref="J28:J32"/>
    <mergeCell ref="K28:K32"/>
    <mergeCell ref="B7:B9"/>
    <mergeCell ref="G7:G9"/>
    <mergeCell ref="U21:U26"/>
    <mergeCell ref="F7:F9"/>
    <mergeCell ref="E7:E9"/>
    <mergeCell ref="D7:D9"/>
    <mergeCell ref="C7:C9"/>
    <mergeCell ref="J7:J9"/>
    <mergeCell ref="B41:B67"/>
    <mergeCell ref="C41:C67"/>
    <mergeCell ref="D41:D67"/>
    <mergeCell ref="E41:E67"/>
    <mergeCell ref="G34:G38"/>
    <mergeCell ref="J34:J38"/>
    <mergeCell ref="F28:F32"/>
    <mergeCell ref="G47:G49"/>
    <mergeCell ref="C28:C38"/>
    <mergeCell ref="F12:F26"/>
    <mergeCell ref="E13:E26"/>
    <mergeCell ref="J47:J49"/>
    <mergeCell ref="F41:F64"/>
    <mergeCell ref="J44:J46"/>
    <mergeCell ref="L47:L49"/>
    <mergeCell ref="L34:L38"/>
    <mergeCell ref="L44:L46"/>
    <mergeCell ref="N44:N46"/>
    <mergeCell ref="K47:K49"/>
    <mergeCell ref="L28:L32"/>
    <mergeCell ref="K41:K42"/>
    <mergeCell ref="L41:L42"/>
    <mergeCell ref="N41:N42"/>
    <mergeCell ref="K44:K46"/>
    <mergeCell ref="N47:N49"/>
    <mergeCell ref="N34:N38"/>
    <mergeCell ref="M34:M38"/>
    <mergeCell ref="M41:M42"/>
    <mergeCell ref="M44:M46"/>
    <mergeCell ref="M47:M49"/>
    <mergeCell ref="V21:V26"/>
    <mergeCell ref="X21:X26"/>
    <mergeCell ref="V28:V32"/>
    <mergeCell ref="T28:T32"/>
    <mergeCell ref="U28:U32"/>
    <mergeCell ref="S28:S32"/>
    <mergeCell ref="X12:X14"/>
    <mergeCell ref="S21:S26"/>
    <mergeCell ref="T21:T26"/>
    <mergeCell ref="T17:T19"/>
    <mergeCell ref="U17:U19"/>
    <mergeCell ref="B6:S6"/>
    <mergeCell ref="F10:S10"/>
    <mergeCell ref="G44:G46"/>
    <mergeCell ref="J17:J19"/>
    <mergeCell ref="L21:L26"/>
    <mergeCell ref="L17:L19"/>
    <mergeCell ref="K51:K58"/>
    <mergeCell ref="K61:K64"/>
    <mergeCell ref="J61:J64"/>
    <mergeCell ref="G61:G64"/>
    <mergeCell ref="F34:F38"/>
    <mergeCell ref="K34:K38"/>
    <mergeCell ref="F39:S39"/>
    <mergeCell ref="F33:S33"/>
    <mergeCell ref="B40:S40"/>
    <mergeCell ref="M7:M9"/>
    <mergeCell ref="M17:M19"/>
    <mergeCell ref="M21:M26"/>
    <mergeCell ref="M28:M32"/>
    <mergeCell ref="N21:N26"/>
    <mergeCell ref="Q28:Q32"/>
    <mergeCell ref="N28:N32"/>
    <mergeCell ref="P21:P26"/>
    <mergeCell ref="O28:O32"/>
    <mergeCell ref="A70:A73"/>
    <mergeCell ref="B70:B73"/>
    <mergeCell ref="C70:C73"/>
    <mergeCell ref="D70:D73"/>
    <mergeCell ref="AO58:AO59"/>
    <mergeCell ref="Z80:Z84"/>
    <mergeCell ref="AG80:AG84"/>
    <mergeCell ref="AH80:AH84"/>
    <mergeCell ref="Y70:Y71"/>
    <mergeCell ref="AM70:AM71"/>
    <mergeCell ref="M51:M58"/>
    <mergeCell ref="M61:M64"/>
    <mergeCell ref="P61:P64"/>
    <mergeCell ref="V60:AE60"/>
    <mergeCell ref="V65:AE65"/>
    <mergeCell ref="V68:AE69"/>
    <mergeCell ref="AF68:AF69"/>
    <mergeCell ref="AA80:AA84"/>
    <mergeCell ref="AC80:AC84"/>
    <mergeCell ref="AD80:AD84"/>
    <mergeCell ref="AO70:AO71"/>
    <mergeCell ref="F66:F67"/>
    <mergeCell ref="V66:V67"/>
    <mergeCell ref="A41:A67"/>
    <mergeCell ref="AS61:AS62"/>
    <mergeCell ref="AS91:AS92"/>
    <mergeCell ref="AQ91:AQ92"/>
    <mergeCell ref="AP91:AP92"/>
    <mergeCell ref="AN86:AN90"/>
    <mergeCell ref="AR58:AR59"/>
    <mergeCell ref="AR61:AR62"/>
    <mergeCell ref="S94:S98"/>
    <mergeCell ref="T94:T98"/>
    <mergeCell ref="U94:U98"/>
    <mergeCell ref="F65:S65"/>
    <mergeCell ref="F68:S68"/>
    <mergeCell ref="B69:S69"/>
    <mergeCell ref="F72:S72"/>
    <mergeCell ref="F74:S74"/>
    <mergeCell ref="B75:S75"/>
    <mergeCell ref="K87:K92"/>
    <mergeCell ref="J87:J92"/>
    <mergeCell ref="G87:G92"/>
    <mergeCell ref="K77:K79"/>
    <mergeCell ref="J77:J79"/>
    <mergeCell ref="D76:D103"/>
    <mergeCell ref="C76:C103"/>
    <mergeCell ref="R61:R64"/>
    <mergeCell ref="AN91:AN92"/>
    <mergeCell ref="AQ86:AQ90"/>
    <mergeCell ref="AS28:AS32"/>
    <mergeCell ref="AN21:AN26"/>
    <mergeCell ref="AQ21:AQ26"/>
    <mergeCell ref="AN28:AN29"/>
    <mergeCell ref="AP28:AP29"/>
    <mergeCell ref="AO28:AO29"/>
    <mergeCell ref="AQ28:AQ29"/>
    <mergeCell ref="AN30:AN32"/>
    <mergeCell ref="AO30:AO32"/>
    <mergeCell ref="AP30:AP32"/>
    <mergeCell ref="AQ30:AQ32"/>
    <mergeCell ref="AS51:AS57"/>
    <mergeCell ref="AS58:AS59"/>
    <mergeCell ref="AS43:AS45"/>
    <mergeCell ref="AS46:AS49"/>
    <mergeCell ref="AN41:AN43"/>
    <mergeCell ref="AQ41:AQ43"/>
    <mergeCell ref="AO41:AO43"/>
    <mergeCell ref="AP41:AP43"/>
    <mergeCell ref="AN51:AN57"/>
    <mergeCell ref="AO51:AO57"/>
    <mergeCell ref="AN58:AN59"/>
    <mergeCell ref="AR100:AR103"/>
    <mergeCell ref="AO16:AO19"/>
    <mergeCell ref="AP16:AP19"/>
    <mergeCell ref="AQ94:AQ98"/>
    <mergeCell ref="AQ100:AQ103"/>
    <mergeCell ref="AR28:AR29"/>
    <mergeCell ref="AR30:AR32"/>
    <mergeCell ref="AR34:AR38"/>
    <mergeCell ref="AR41:AR43"/>
    <mergeCell ref="AR44:AR49"/>
    <mergeCell ref="AR51:AR57"/>
    <mergeCell ref="AO44:AO49"/>
    <mergeCell ref="AP44:AP49"/>
    <mergeCell ref="AQ44:AQ49"/>
    <mergeCell ref="AP21:AP26"/>
    <mergeCell ref="AO100:AO103"/>
    <mergeCell ref="AR94:AR98"/>
    <mergeCell ref="F5:S5"/>
    <mergeCell ref="B11:S11"/>
    <mergeCell ref="F27:S27"/>
    <mergeCell ref="O7:O9"/>
    <mergeCell ref="Q7:Q9"/>
    <mergeCell ref="R7:R9"/>
    <mergeCell ref="O17:O19"/>
    <mergeCell ref="Q17:Q19"/>
    <mergeCell ref="R17:R19"/>
    <mergeCell ref="O21:O26"/>
    <mergeCell ref="Q21:Q26"/>
    <mergeCell ref="R21:R26"/>
    <mergeCell ref="C13:C26"/>
    <mergeCell ref="D13:D26"/>
    <mergeCell ref="K17:K19"/>
    <mergeCell ref="N17:N19"/>
    <mergeCell ref="L7:L9"/>
    <mergeCell ref="K7:K9"/>
    <mergeCell ref="P7:P9"/>
    <mergeCell ref="G17:G19"/>
    <mergeCell ref="B4:B5"/>
    <mergeCell ref="C4:C5"/>
    <mergeCell ref="D4:D5"/>
    <mergeCell ref="E4:E5"/>
    <mergeCell ref="V5:AE6"/>
    <mergeCell ref="AF5:AF6"/>
    <mergeCell ref="AA7:AA9"/>
    <mergeCell ref="U101:U103"/>
    <mergeCell ref="S87:S92"/>
    <mergeCell ref="T87:T92"/>
    <mergeCell ref="U87:U92"/>
    <mergeCell ref="U80:U81"/>
    <mergeCell ref="F99:S99"/>
    <mergeCell ref="M77:M79"/>
    <mergeCell ref="M80:M81"/>
    <mergeCell ref="M87:M92"/>
    <mergeCell ref="M94:M98"/>
    <mergeCell ref="K101:K103"/>
    <mergeCell ref="L101:L103"/>
    <mergeCell ref="S77:S79"/>
    <mergeCell ref="T77:T79"/>
    <mergeCell ref="U77:U79"/>
    <mergeCell ref="S80:S81"/>
    <mergeCell ref="N101:N103"/>
    <mergeCell ref="J101:J103"/>
    <mergeCell ref="G101:G103"/>
    <mergeCell ref="V94:V98"/>
    <mergeCell ref="W86:W92"/>
    <mergeCell ref="B105:S105"/>
    <mergeCell ref="F104:S104"/>
    <mergeCell ref="L108:S108"/>
    <mergeCell ref="X108:AD108"/>
    <mergeCell ref="V27:AE27"/>
    <mergeCell ref="V33:AE33"/>
    <mergeCell ref="V72:AH72"/>
    <mergeCell ref="V74:AH74"/>
    <mergeCell ref="AE80:AE84"/>
    <mergeCell ref="X86:X92"/>
    <mergeCell ref="V99:AE99"/>
    <mergeCell ref="V104:AE104"/>
    <mergeCell ref="B76:B103"/>
    <mergeCell ref="T80:T81"/>
    <mergeCell ref="AG70:AG71"/>
    <mergeCell ref="O34:O38"/>
    <mergeCell ref="Q34:Q38"/>
    <mergeCell ref="R34:R38"/>
    <mergeCell ref="B12:B38"/>
    <mergeCell ref="G41:G42"/>
    <mergeCell ref="F100:F103"/>
    <mergeCell ref="P87:P92"/>
    <mergeCell ref="D28:D38"/>
    <mergeCell ref="E28:E38"/>
    <mergeCell ref="AQ76:AQ80"/>
    <mergeCell ref="AR76:AR80"/>
    <mergeCell ref="AM76:AM80"/>
    <mergeCell ref="AM81:AM84"/>
    <mergeCell ref="AN81:AN84"/>
    <mergeCell ref="AR81:AR84"/>
    <mergeCell ref="AO81:AO84"/>
    <mergeCell ref="AQ81:AQ84"/>
    <mergeCell ref="AR17:AR19"/>
    <mergeCell ref="AN44:AN49"/>
    <mergeCell ref="AM30:AM32"/>
    <mergeCell ref="AM28:AM29"/>
    <mergeCell ref="AM41:AM43"/>
    <mergeCell ref="AM44:AM49"/>
    <mergeCell ref="AM52:AM57"/>
    <mergeCell ref="AM58:AM59"/>
    <mergeCell ref="AM17:AM19"/>
  </mergeCells>
  <phoneticPr fontId="11" type="noConversion"/>
  <hyperlinks>
    <hyperlink ref="AU41" r:id="rId1" xr:uid="{255CC671-EE2B-469E-AA5B-D7F031B30325}"/>
    <hyperlink ref="AU51" r:id="rId2" xr:uid="{045BA661-2D10-4D95-94E7-2EE83589363F}"/>
    <hyperlink ref="AU61" r:id="rId3" xr:uid="{C13765A9-B2D8-4A86-BCD5-ABEEEB247753}"/>
    <hyperlink ref="AU76" r:id="rId4" xr:uid="{F6A267ED-C15E-4F95-8288-487359992610}"/>
    <hyperlink ref="AU86" r:id="rId5" xr:uid="{4FB7F0BB-5CB0-4C19-AA3E-A61ECB2926FF}"/>
    <hyperlink ref="AU94" r:id="rId6" xr:uid="{D9ADD641-E123-4BDB-98A2-52F33F3B73B4}"/>
    <hyperlink ref="AU4" r:id="rId7" display="https://alcart.sharepoint.com/:f:/s/HabilitacindeSuelo/EqyUw54acPVIu2ouDwxavAoBdrgGq8ViiCS3lSzltkDrpw" xr:uid="{A9AE8E2F-B9CD-4FC1-9D97-880F8F6BC8ED}"/>
    <hyperlink ref="AU66" r:id="rId8" xr:uid="{CCD28797-78D5-477B-BCF4-91C586071784}"/>
  </hyperlinks>
  <pageMargins left="0.7" right="0.7" top="0.75" bottom="0.75" header="0.3" footer="0.3"/>
  <pageSetup orientation="portrait" r:id="rId9"/>
  <legacy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Fest Zona 6</dc:creator>
  <cp:lastModifiedBy>LUZ  MARINA SEVERICHE MONROY</cp:lastModifiedBy>
  <dcterms:created xsi:type="dcterms:W3CDTF">2020-07-31T19:55:20Z</dcterms:created>
  <dcterms:modified xsi:type="dcterms:W3CDTF">2022-01-24T23:01:28Z</dcterms:modified>
</cp:coreProperties>
</file>