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zma\OneDrive\Escritorio\"/>
    </mc:Choice>
  </mc:AlternateContent>
  <xr:revisionPtr revIDLastSave="0" documentId="8_{AAF5F958-C24B-4320-BEF0-8602E26399E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6" i="1" l="1"/>
  <c r="R44" i="1"/>
  <c r="R40" i="1"/>
  <c r="R32" i="1"/>
  <c r="R29" i="1"/>
  <c r="R26" i="1"/>
  <c r="R23" i="1"/>
  <c r="R20" i="1"/>
  <c r="R19" i="1"/>
  <c r="R17" i="1"/>
  <c r="R16" i="1"/>
  <c r="S2" i="1"/>
  <c r="S4" i="1"/>
  <c r="S5" i="1"/>
  <c r="S6" i="1"/>
  <c r="S7" i="1"/>
  <c r="S8" i="1"/>
  <c r="S9" i="1"/>
  <c r="T8" i="1" s="1"/>
  <c r="S10" i="1"/>
  <c r="S11" i="1"/>
  <c r="S12" i="1"/>
  <c r="S13" i="1"/>
  <c r="S61" i="1" l="1"/>
  <c r="S60" i="1"/>
  <c r="S59" i="1"/>
  <c r="S58" i="1"/>
  <c r="T58" i="1" s="1"/>
  <c r="U58" i="1" s="1"/>
  <c r="S57" i="1"/>
  <c r="S56" i="1"/>
  <c r="S55" i="1"/>
  <c r="S54" i="1"/>
  <c r="S53" i="1"/>
  <c r="T53" i="1" s="1"/>
  <c r="S52" i="1"/>
  <c r="S50" i="1"/>
  <c r="S48" i="1"/>
  <c r="S47" i="1"/>
  <c r="S46" i="1"/>
  <c r="S45" i="1"/>
  <c r="S44" i="1"/>
  <c r="S43" i="1"/>
  <c r="S39" i="1"/>
  <c r="S38" i="1"/>
  <c r="S37" i="1"/>
  <c r="T37" i="1" s="1"/>
  <c r="U37" i="1" s="1"/>
  <c r="S36" i="1"/>
  <c r="S35" i="1"/>
  <c r="S34" i="1"/>
  <c r="S33" i="1"/>
  <c r="S32" i="1"/>
  <c r="T32" i="1" s="1"/>
  <c r="U32" i="1" s="1"/>
  <c r="S31" i="1"/>
  <c r="S30" i="1"/>
  <c r="T30" i="1" s="1"/>
  <c r="U30" i="1" s="1"/>
  <c r="S29" i="1"/>
  <c r="S28" i="1"/>
  <c r="S26" i="1"/>
  <c r="S25" i="1"/>
  <c r="S24" i="1"/>
  <c r="T24" i="1" s="1"/>
  <c r="S21" i="1"/>
  <c r="S20" i="1"/>
  <c r="S19" i="1"/>
  <c r="T19" i="1" s="1"/>
  <c r="S17" i="1"/>
  <c r="S16" i="1"/>
  <c r="S15" i="1"/>
  <c r="T15" i="1" s="1"/>
  <c r="AO62" i="1" l="1"/>
  <c r="AP62" i="1"/>
  <c r="AQ62" i="1"/>
  <c r="AR62" i="1"/>
  <c r="AS62" i="1" s="1"/>
  <c r="AS38" i="1"/>
  <c r="AS32" i="1"/>
  <c r="AS27" i="1"/>
  <c r="AS19" i="1"/>
  <c r="AS15" i="1"/>
  <c r="AG62" i="1" l="1"/>
  <c r="AE44" i="1"/>
  <c r="AE39" i="1"/>
  <c r="AE38" i="1"/>
  <c r="AE32" i="1"/>
  <c r="AE27" i="1"/>
  <c r="AE22" i="1"/>
  <c r="AE21" i="1"/>
  <c r="AE20" i="1"/>
  <c r="AE19" i="1"/>
  <c r="AE17" i="1"/>
  <c r="AF32" i="1"/>
  <c r="AG32" i="1" s="1"/>
  <c r="AF19" i="1"/>
  <c r="AE16" i="1"/>
  <c r="AE18" i="1"/>
  <c r="AF17" i="1" s="1"/>
  <c r="AE45" i="1"/>
  <c r="AE43" i="1"/>
  <c r="AE41" i="1"/>
  <c r="AE42" i="1"/>
  <c r="AE29" i="1"/>
  <c r="AF28" i="1" s="1"/>
  <c r="AG27" i="1" s="1"/>
  <c r="AE23" i="1"/>
  <c r="AF21" i="1" s="1"/>
  <c r="AE24" i="1"/>
  <c r="AF24" i="1" s="1"/>
  <c r="AE15" i="1"/>
  <c r="AF15" i="1" s="1"/>
  <c r="I40" i="1"/>
  <c r="AX27" i="1"/>
  <c r="H40" i="1"/>
  <c r="N16" i="1"/>
  <c r="N30" i="1"/>
  <c r="N29" i="1"/>
  <c r="N14" i="1"/>
  <c r="S14" i="1" s="1"/>
  <c r="T12" i="1" s="1"/>
  <c r="N7" i="1"/>
  <c r="N3" i="1"/>
  <c r="S3" i="1" s="1"/>
  <c r="T2" i="1" s="1"/>
  <c r="N56" i="1"/>
  <c r="N55" i="1"/>
  <c r="N54" i="1"/>
  <c r="N51" i="1"/>
  <c r="S51" i="1" s="1"/>
  <c r="N50" i="1"/>
  <c r="N49" i="1"/>
  <c r="S49" i="1" s="1"/>
  <c r="T49" i="1" s="1"/>
  <c r="U49" i="1" s="1"/>
  <c r="N44" i="1"/>
  <c r="N40" i="1"/>
  <c r="S40" i="1" s="1"/>
  <c r="N36" i="1"/>
  <c r="N35" i="1"/>
  <c r="N34" i="1"/>
  <c r="N33" i="1"/>
  <c r="N32" i="1"/>
  <c r="N31" i="1"/>
  <c r="N27" i="1"/>
  <c r="S27" i="1" s="1"/>
  <c r="T27" i="1" s="1"/>
  <c r="U27" i="1" s="1"/>
  <c r="N23" i="1"/>
  <c r="S23" i="1" s="1"/>
  <c r="T21" i="1" s="1"/>
  <c r="U19" i="1" s="1"/>
  <c r="N20" i="1"/>
  <c r="N19" i="1"/>
  <c r="N18" i="1"/>
  <c r="S18" i="1" s="1"/>
  <c r="T17" i="1" s="1"/>
  <c r="U15" i="1" s="1"/>
  <c r="N17" i="1"/>
  <c r="N42" i="1"/>
  <c r="S42" i="1" s="1"/>
  <c r="N41" i="1"/>
  <c r="S41" i="1" s="1"/>
  <c r="N11" i="1"/>
  <c r="AG15" i="1" l="1"/>
  <c r="T38" i="1"/>
  <c r="U38" i="1" s="1"/>
  <c r="U2" i="1"/>
  <c r="U62" i="1" s="1"/>
  <c r="AF38" i="1"/>
  <c r="AG38" i="1" s="1"/>
  <c r="AG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eherazod</author>
    <author>Usuario</author>
  </authors>
  <commentList>
    <comment ref="N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eherazod:</t>
        </r>
        <r>
          <rPr>
            <sz val="9"/>
            <color indexed="81"/>
            <rFont val="Tahoma"/>
            <family val="2"/>
          </rPr>
          <t xml:space="preserve">
NO ES ACUMULATIVA</t>
        </r>
      </text>
    </comment>
    <comment ref="AT2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en la UE-01  delegado a SICC mediante decreto 0092 del 16 de enero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 calcula sobre una LB de 302 descontando los 959 atendidos hasta dic 2019</t>
        </r>
      </text>
    </comment>
    <comment ref="I4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 calcula sobre una LB de 302 descontando los 959 atendidos hasta dic 2019</t>
        </r>
      </text>
    </comment>
    <comment ref="N4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eherazod:</t>
        </r>
        <r>
          <rPr>
            <sz val="9"/>
            <color indexed="81"/>
            <rFont val="Tahoma"/>
            <family val="2"/>
          </rPr>
          <t xml:space="preserve">
NO ES ACUMULATIVA</t>
        </r>
      </text>
    </comment>
  </commentList>
</comments>
</file>

<file path=xl/sharedStrings.xml><?xml version="1.0" encoding="utf-8"?>
<sst xmlns="http://schemas.openxmlformats.org/spreadsheetml/2006/main" count="701" uniqueCount="521">
  <si>
    <t>OBJETIVO ESTRATEGICO</t>
  </si>
  <si>
    <t xml:space="preserve">EJE ESTRATEGICO </t>
  </si>
  <si>
    <t xml:space="preserve">LINEA ESTRATEGICA </t>
  </si>
  <si>
    <t>PROGRAMA</t>
  </si>
  <si>
    <t>META DE RESULTADO</t>
  </si>
  <si>
    <t>SUBPROGRAMA</t>
  </si>
  <si>
    <t>NOMBRE DEL PROYECTO INSCRITO EN EL BANCO DE PROYECTO</t>
  </si>
  <si>
    <t xml:space="preserve">UNIDAD DE MEDIDA </t>
  </si>
  <si>
    <t xml:space="preserve">CANTIDAD </t>
  </si>
  <si>
    <t>RESPONSABLE</t>
  </si>
  <si>
    <t>RUBRO</t>
  </si>
  <si>
    <t>FUENTE</t>
  </si>
  <si>
    <t>INDICADOR META DE RESULTADO</t>
  </si>
  <si>
    <t>LINEA BASE META DE RESULTADO A 2015</t>
  </si>
  <si>
    <t xml:space="preserve">META PRODUCTO  PLAN DE DESARROLLO (VALOR ABSOLUTO) </t>
  </si>
  <si>
    <t>LINEA BASE META PRODUCTO A 2015</t>
  </si>
  <si>
    <t xml:space="preserve">INDICADOR META PRODUCTO  PLAN DE DESARROLLO </t>
  </si>
  <si>
    <t>CODIGO BPIN (CODIGO ACTUALIZADO EN MGA WEB)</t>
  </si>
  <si>
    <t xml:space="preserve">Fecha de inicio </t>
  </si>
  <si>
    <t xml:space="preserve">Fecha de Terminación </t>
  </si>
  <si>
    <t>POBLACION BENEFICIADA POR LOCALIDAD</t>
  </si>
  <si>
    <t>SUPERAR LA DESIGUALDAD</t>
  </si>
  <si>
    <t>PRIMERO LA GENTE</t>
  </si>
  <si>
    <t>DIVERSIDAD ETNICA</t>
  </si>
  <si>
    <t xml:space="preserve">  FORTALECIMIENTO DE LOSGRUPOS ÉTNICOS EN EL DISTRITO</t>
  </si>
  <si>
    <t>Porcentaje de Aumento de las comunidades Afros e indígenas con planes de etnodesarrollo y planes de Vida Indígenas formulados</t>
  </si>
  <si>
    <t>PROGRAMA OBSERVATORIO DISTRITAL DE DISCRIMINACIÓN</t>
  </si>
  <si>
    <t>Porcentaje de Aumento en el registro de casos de Discriminación Racial en de registro, e Investigación,</t>
  </si>
  <si>
    <t>ADAPTAR EL TERRITORIO PARA LA GENTE</t>
  </si>
  <si>
    <t xml:space="preserve">  DESARROLLO ECONOMICO INCLUYENTE</t>
  </si>
  <si>
    <t>CARTAGENA CIUDAD  PARA INVERTIR</t>
  </si>
  <si>
    <t>EMPLEO, INGRESO, EMPRENDIMIENTO</t>
  </si>
  <si>
    <t>Porcentaje de Apoyo a iniciativas productivas
afro e indígenas</t>
  </si>
  <si>
    <t xml:space="preserve"> CONSTRUIR CIUDADANIA Y FORTALECIMIENTO INSTITUCIONAL</t>
  </si>
  <si>
    <t xml:space="preserve"> SEGURIDAD INTEGRAL</t>
  </si>
  <si>
    <t>CARTAGENA SIN MIEDOS</t>
  </si>
  <si>
    <t xml:space="preserve">BARRIO SEGURO, UNIDAD COMUNERA SEGURA -UNCOS  </t>
  </si>
  <si>
    <t xml:space="preserve">Reducción integral de  la Tasa de Homicidio </t>
  </si>
  <si>
    <t>Reducción  integralmente  de la Tasa de extorsión</t>
  </si>
  <si>
    <t xml:space="preserve">Reducción  integralmente de la tasa de hurtos a
personas </t>
  </si>
  <si>
    <t>Porcetaje de Reducción en el número de
hurtos a residencias</t>
  </si>
  <si>
    <t>FORTALECIMIENTO INSTITUCIONAL DE LA SECRETARÍA DEL
INTERIOR Y CONVIVENCIA CIUDADANA</t>
  </si>
  <si>
    <t>Porcentaje de aumento en los Operativos de control preventivo y sancionatorio realizados pora el cumplimiento de los normas de convivencia y seguridad en la ciudad.</t>
  </si>
  <si>
    <t>Trasladar cárcel
Distrital</t>
  </si>
  <si>
    <t>Porcentaje de Reducción en el tiempo
de respuesta a la zona
industrial de Mamonal en
Cartagena.</t>
  </si>
  <si>
    <t>Porcentaje de incremento en cobertura
acuatica e insular en el Distrito
Cartagena.</t>
  </si>
  <si>
    <t>Porcentaje de incremento  en la
capacidad operativa del
cuerpo de Bomberos en el
Distrito de Cartagena</t>
  </si>
  <si>
    <t>JUSTICIA CERCANA AL CIUDADANO</t>
  </si>
  <si>
    <t>Reducción de  la tasa de Violencia Intrafamiliar</t>
  </si>
  <si>
    <t>Porcentaje de Reducción de los delitos sexuales</t>
  </si>
  <si>
    <t>CARTAGENA POR LA CONVIVENCIA</t>
  </si>
  <si>
    <t>Porcentaje de Aumento en las  personas que considera que en Cartagena se respetan las normas de convivencia ciudadana</t>
  </si>
  <si>
    <t xml:space="preserve">PRIMERO LOS JOVENES 
</t>
  </si>
  <si>
    <t>Porcentaje de Reducción en  el
Número de homicidios
cuyos victimarios son
adolescentes y jóvenes
que pertenecen a
grupos de pandilla.</t>
  </si>
  <si>
    <t>Porcentaje de Reducción en  el
Número de hurtos
perpetrados por
adolescentes y jóvenes
que pertenecen a
grupos de pandilla.</t>
  </si>
  <si>
    <t>Porcentaje de Reducción en  el
Numero de riñas entre
adolescentes y jóvenes
que pertenecen o
grupos de pandilla.</t>
  </si>
  <si>
    <t>Porcentaje de Reducción de las  
pandillas en el distrito de
Cartagena</t>
  </si>
  <si>
    <t>Porcentaje de Reducción en  el
Número de Adolescentes
y Jóvenes de Cartagena
que ingresan al Sistema
de Responsabilidad
Penal para Adolescentes
en las distintas
modalidades</t>
  </si>
  <si>
    <t>VÍCTIMAS DEL CONFLICTO ARMADO INTEGRADAS</t>
  </si>
  <si>
    <t>Porcentaje de Reducción en los riesgos de Victimización en la población</t>
  </si>
  <si>
    <t>Porcentaje de Aumento en la cobertura de población víctima atendida en Urgencia en la modalidad de Albergue y externa Con enfoque de género, diferencial y étnico</t>
  </si>
  <si>
    <t>Porcentaje de Aumento en la cobertura de población víctima que ha sido atendido en programas de Generación de ingresos, apoyo al auto sostenimiento, y vinculación laboral con enfoque de  género, diferencial y étnico</t>
  </si>
  <si>
    <t>Porcentaje de Aumento en el acceso de personas víctimas o vivienda urbano</t>
  </si>
  <si>
    <t>Porcenteje de Aumento en la Cobertura en programas de atención Psicosocial y salud mental para Población víctima del
conflicto asentada en el Distrito con enfoque de género, diferencial y étnico</t>
  </si>
  <si>
    <t>Construcción de un Museo de Memoria Histórica en el Distrito de Cartagena como Acción de Memoria Histórica y Medida de Satisfacción a Población Victima en el Distrito.</t>
  </si>
  <si>
    <t>Porcentaje de atención a  los integrantes de la mesa Distrital de
Victimas.</t>
  </si>
  <si>
    <t>caracterización de la población Victima del Conflicto asentada en el Distrito</t>
  </si>
  <si>
    <t>Promover la creación de la Instancia administrativa de carácter distrital de alto nivel para la articulación del  sistema local de atención integral a Víctimas del conflicto en
Cartagena.</t>
  </si>
  <si>
    <t>FORTALECIMIENTO DEL PROCESO DE REINTEGRACIÓN
SOCIAL EN EL DISTRITO DE CARTAGENA</t>
  </si>
  <si>
    <t>Porcentaje de Vinculación  de las personas en proceso de reintegración asentadas en el Distrito a procesos de reconciliación</t>
  </si>
  <si>
    <t>Porcentaje de vinculación de las personas en proceso de reintegración asentados en el Distrito a iniciativas de generación de ingreso</t>
  </si>
  <si>
    <t>Porcentaje de Aumento de las personas en proceso de reintegración Social que acceden a vivienda de Interés social en el Distrito</t>
  </si>
  <si>
    <t>DERECHOS HUMANOS</t>
  </si>
  <si>
    <t>Pircentaje de Ejecución de  la Política Publica de DDHH</t>
  </si>
  <si>
    <t>Porcentajde de Reducción en  el número de violaciones a los DDHH en el Distrito</t>
  </si>
  <si>
    <t>FORTALECIMIENTO INSTITUCIONAL</t>
  </si>
  <si>
    <t>PARTICIPACION Y FORTALECIMIENTO A LA DESCENTRALIZACION</t>
  </si>
  <si>
    <t>PRESUPUESTO PARTICIPATIVO</t>
  </si>
  <si>
    <t>Porcentaje de Contratación de  los proyectos de presupuesto porticipativo priorizados</t>
  </si>
  <si>
    <t xml:space="preserve">  AFRODESCENDIENTES E INDIGENAS</t>
  </si>
  <si>
    <t xml:space="preserve"> EMPRENDIMIENTO ÉTNICO</t>
  </si>
  <si>
    <t>PLAN INTEGRAL DE SEGURIDAD CIUDADANA</t>
  </si>
  <si>
    <t>FORTALECIMIENTO DE LOS MECANISMOS
COMUNITARIOS DE PREVENCIÓN DEL DELITO</t>
  </si>
  <si>
    <t>FORTALECIMIENTO DE LA SECRETARÍA DEL
INTERIOR</t>
  </si>
  <si>
    <t>FORTALECIMIEN
TO CARCELARIO
Y
PENITENCIARIO</t>
  </si>
  <si>
    <t>FORTALECIMIEN
TO CUERPO DE
BOMBEROS</t>
  </si>
  <si>
    <t>JUSTICIA CERCANA AL
CIUDADANO</t>
  </si>
  <si>
    <t>ATENCION INTEGRAL A LOS Y LAS ADOLESCENTES Y JOVENES EN RIESGO DE VINCULARSE A ACTIVIDADES DELICTIVAS Y EN CONFLICTO CON LA LEY PENAL</t>
  </si>
  <si>
    <t>FORTALECIMIENT
O DEL SISTEMA
DE
RESPONSABILIDA
D PENAL
ADOLESCENTE</t>
  </si>
  <si>
    <t>ASISTENCIA Y
REPARACIÓN
INTEGRAL A
VICTIMAS DEL
CONFLICTO
ARMADO.</t>
  </si>
  <si>
    <t>ACOMPAÑAMIENTO
A LA POBLACIÓN EN
PROCESO DE
REINTEGRACION
SOCIAL PARA
GARANTIZAR SU
ACCESO A LA
OFERTA DE
SERVICIOS DEL
ESTADO</t>
  </si>
  <si>
    <t>FORTALECIMIENTO
DEL SISTEMA
DISTRITAL DE
PLANEACIÓN Y
DESCENTRALIZACIÓN</t>
  </si>
  <si>
    <t>Formular 4 planes de
etnodesarrollo en igual
número de comunidades
Afro y articular los 4
planes de Etnodesarrollo
al plan de Desarrollo
Distrital.</t>
  </si>
  <si>
    <t>Formular plan de vida en
tres (3), comunidades
indígenas asentadas en
el Distrito Y articular los
planes de Etnodesanrollo
al plan de Desarrollo
Distrital.</t>
  </si>
  <si>
    <t>Acompañar
técnicamente el proceso
de titulación colectiva
de 4 consejos
comunitarios Afros.</t>
  </si>
  <si>
    <t>Acompañar a los 25
consejos comunitarios en
la formulación de sus
reglamentos internos</t>
  </si>
  <si>
    <t>Generar capacidades a
15 organizaciones
Afrodescendiente de la
ciudad para la
incidencia política.</t>
  </si>
  <si>
    <t>Reglamentar
mediante
acuerdo y poner
en
funcionamiento el
Observatorio
Antidiscriminación
racial para el
registro de todos
los casos de
discriminación en
la ciudad.</t>
  </si>
  <si>
    <t>Realizar una
investigación
anual sobre las
diferentes formas
de discriminación
racial la ciudad.</t>
  </si>
  <si>
    <t>Realizar una
campaña anual
antidiscriminación
racial en
Cartagena</t>
  </si>
  <si>
    <t>Capacitar a 400
funcionarios en
Enfoque
Diferencial</t>
  </si>
  <si>
    <t>Creación y
Fortalecimiento de 50
iniciativas de
emprendimiento
Indígenas en el Distrito</t>
  </si>
  <si>
    <t>Creación y
Fortalecimiento de 50
iniciativas de
emprendimiento para
población Afro</t>
  </si>
  <si>
    <t>Caracterizar y atender
1,000 familias
Afrodescendientes a
través de lo estrategia
del PES para superar las
trompas de la pobreza</t>
  </si>
  <si>
    <t>Formular y ejecutar
un Plan Integral de
seguridad y
Convivencia
ciudadana</t>
  </si>
  <si>
    <t>Realizar 10 consejos
comunales de
seguridad
anualmente en los
barrios con mayores
índices de Violencia</t>
  </si>
  <si>
    <t>Realizar 2 Campañas
de promoción de la
denuncia ciudadana
anualmente</t>
  </si>
  <si>
    <t>Recuperar 30
Entornos Urbanos
deteriorados en los
barrios con mayores
índices de Violencia</t>
  </si>
  <si>
    <t>Realizar 50 operativos
de control a juegos
de azar en el Distrito</t>
  </si>
  <si>
    <t>Realizar 170
Operativos de control
a espectáculos
públicos en el Distrito</t>
  </si>
  <si>
    <t>Trasladar la Cárcel
Distrital de
Cartagena</t>
  </si>
  <si>
    <t>Suscribir Convenio
con el INPEC para la
atención de los
indiciados</t>
  </si>
  <si>
    <t>Diseñar, construir y
dotar una estación
de Bomberos
terrestre en el Distrito</t>
  </si>
  <si>
    <t>Diseñar, construir y
dotar una estación
de Bomberos
acuática en el
Distrito.</t>
  </si>
  <si>
    <t>Dotar con equipos operativos de rescate, control de incendios e incidentes con materiales peligrosos las 3 estaciones de Bomberos existentes.</t>
  </si>
  <si>
    <t>Realizar una (1) actualización Normativa anual a todos los conciliadores en equidad activos en el Distrito.</t>
  </si>
  <si>
    <t>Ampliar la red de Conciliadores en el Distrito con la formación de 40
nuevos Conciliadores en
equidad.</t>
  </si>
  <si>
    <t>Realizar 120 jornadas de
"Justicia a los barrios" pora
acercar los servicios de
justicia a la ciudadanía.</t>
  </si>
  <si>
    <t>Realizar dos campañas
anuales de promoción de
buenas prácticas
ciudadanos en el Distrito.</t>
  </si>
  <si>
    <t>Realizar 60 festivales para
la convivencia en los
barrios priorizodos con
mayor índice de violencia
en el Distrito</t>
  </si>
  <si>
    <t>Atender
Psicosocialmente a 1000
jóvenes vinculados a
Pandillas y sus familias.</t>
  </si>
  <si>
    <t>Identificar y ejecutar 80
Iniciativas juveniles para
promover
emprendimiento</t>
  </si>
  <si>
    <t>Realizar 2 festivales
deportivos por localidad
anualmente.</t>
  </si>
  <si>
    <t>Realizar 2 festivales
artísticos por localidad
anualmente</t>
  </si>
  <si>
    <t>Implementar 2 Mesas de
Dialogo anualmente.</t>
  </si>
  <si>
    <t>Suscribir un convenio con
ASOMENORES
anualmente.</t>
  </si>
  <si>
    <t>Diseñar e
implementar un Plan
Distrital de
Prevención y
protección de
violaciones graves a
los DDHH y DIH</t>
  </si>
  <si>
    <t>Construir un centro
para la atención
integral a las
víctimas del
conflicto asentados
en el Distrito</t>
  </si>
  <si>
    <t>Garantizar atención
inmediata con
enfoque de género,
diferencial y étnico
a 1.261 victimas del
conflicto</t>
  </si>
  <si>
    <t>Garantizar el acceso
de 2156 hogares
Victimas del
conflicto armado a
programas de
Generación de
ingresos y auto
sostenimiento con
enfoque de género,
diferencial y étnico</t>
  </si>
  <si>
    <t>Garantizar el acceso
a vivienda Urbana a
1,488 personas
víctimas del
conflicto</t>
  </si>
  <si>
    <t>Garantizar el acceso
a solución de
mejoramiento de
habitabilidad a 400
víctimas del
conflicto.</t>
  </si>
  <si>
    <t>Garantizar el acceso
a programas de
atención sicosocial y
salud mental para
6,825 víctimas del
conflicto asentada
en el Distrito con
enfoque de género,
diferencial y étnico</t>
  </si>
  <si>
    <t>Construir un Museo
de Memoria
Histórica en el
Distrito de
Cartagena como
Acción de Memoria
Histórica y Medidas
de Satisfacción a
Población Victima
en el Distrito.</t>
  </si>
  <si>
    <t>Garantizar que los
22 miembros de la
mesa Distrital de
Víctimas accedan a
incentivos técnicos y
logísticos para la
participación
efectiva.</t>
  </si>
  <si>
    <t>Realizar una
caracterización con
enfoque de género,
diferencial y étnico
de la totalidad de la
población víctima
del conflicto
asentada en el
Distrito.</t>
  </si>
  <si>
    <t>Promover la
creación de una
instancia
administrativa de
carácter distrital de
alto nivel para la
articulación del
sistema local de
atención integral a
Víctimas del
conflicto en
Cartagena.</t>
  </si>
  <si>
    <t>Implementar 6 mesas
de diálogos y
reconciliación con la
población en proceso
de reintegración social
y los comunidades
receptoras.</t>
  </si>
  <si>
    <t>Formar a  317 personas
en proceso de
reintegración social
como gestores de Paz
poro el desarrollo de
uno cultura de paz.</t>
  </si>
  <si>
    <t>Vincular a 226 personas
en procesos de
reintegración social a
iniciativas de
generación de
ingresos.</t>
  </si>
  <si>
    <t>Garantizar que 45
personas en proceso
de reintegración accedan a VIS en el
Distrito</t>
  </si>
  <si>
    <t>Construir
colectivamente un
documento de
Política Pública de
DDHH y sus
instrumentos de
seguimiento y
evaluación</t>
  </si>
  <si>
    <t>Realizar 12 Jornadas
de sensibilización en
DDHH en los lE del
Distrito, servidores
públicos, entidades
privadas y
comunidad en
General.</t>
  </si>
  <si>
    <t>Realizar 4 Jornadas
de Prevención y
atención en ESCNNA
en las lE del Distrito,
servidores públicos,
entidades privadas y
comunidad en Gral.</t>
  </si>
  <si>
    <t>Realizar 12 Jornadas
de Prevención y
atención en Trata de
Personas en las lE del
Distrito, servidores
públicos, entidades
privadas y
comunidad en Gral.</t>
  </si>
  <si>
    <t>Modificar el acuerdo
014 de 2008 que
reglamenta el
Comité DDHH para
reorganizario y
ampliar su
denominación a
comité de DDHH, Paz
y Post Conflicto</t>
  </si>
  <si>
    <t>Realizar un   nuevo
ejercicio de
priorización de
Presupuesto
Participotivo en el
Distrito</t>
  </si>
  <si>
    <t>Formular e inscribir
ante el Banco de
Proyectos la totalidad
de los nuevos
proyectos priorizados
por la comunidad</t>
  </si>
  <si>
    <t>Priorizar los nuevos
proyectos
concertados por la
comunidad</t>
  </si>
  <si>
    <t>Priorizar los 91
proyectos
concretados en 2007
y 2009</t>
  </si>
  <si>
    <t>% de comunidades afros con Planes
de etnodesarrollo Formulados</t>
  </si>
  <si>
    <t>El 10% (3 de 28
comunidades afros) con
planes de etnodesarrollo.
El 25% ( 1 de 4
comunidad Indígeno)
con plan de vida
formulado</t>
  </si>
  <si>
    <t>% de registro de casos de
discriminación en la ciudad
de Cartagena.</t>
  </si>
  <si>
    <t>ND</t>
  </si>
  <si>
    <t>Iniciativas productivas afro e
indígenas apoyadas</t>
  </si>
  <si>
    <t>TASA DE HOMICIDIO POR CIEN
MIL HABITANTES</t>
  </si>
  <si>
    <t>27 Tasa de Homicidio por
cien mil habitantes</t>
  </si>
  <si>
    <t>TASA DE EXTORSION POR CIEN
MIL HABITANTES</t>
  </si>
  <si>
    <t>11.21
Fuente: COSED 2014</t>
  </si>
  <si>
    <t>TASA DE HURTO A PERSONAS
POR CIEN MIL HABITANTES</t>
  </si>
  <si>
    <t>109.07
Fuente: COSED 2014</t>
  </si>
  <si>
    <t>HURTOS A RESIDENCIAS</t>
  </si>
  <si>
    <t>217
Fuente: COSED 2014</t>
  </si>
  <si>
    <t>Operativos de control
preventivo y
soncionctorio realizados
para el cumplimiento de
las normas de
convivencia y seguridad
en la ciudad.</t>
  </si>
  <si>
    <t>110 operativos: 25
operativos de control a
juegos de azar y 85 a
espectáculos públicos.
Fuente: SICC2014</t>
  </si>
  <si>
    <t>Nueva cárcel Distrital</t>
  </si>
  <si>
    <t>Cárcel Distrital de
Mujeres en declaratoria
de Obra Ruinosa y
ubicada en Centro
Histórico de Cartagena.</t>
  </si>
  <si>
    <t>Tiempo de respuesta del
cuerpo de Bomberos.</t>
  </si>
  <si>
    <t>Atención de
emergencias en la zona
industrial de Mamonal en
Cartagena
con tiempos de
respuesta con rango
promedio entre 10 a 20
minutos.</t>
  </si>
  <si>
    <t>Cobertura de respuesta
del cuerpo de Bomberos.</t>
  </si>
  <si>
    <t>0% de cobertura de
Bomberos paro
respuesta acuática e
insular en el Distrito.</t>
  </si>
  <si>
    <t>Capacidad operativo
del cuerpo de Bomberos</t>
  </si>
  <si>
    <t>Tres estaciones de
Bomberos terrestres:
Bocagrande, Santo Lucia
y Bosque.
Con capacidad
operativa de un 70%.</t>
  </si>
  <si>
    <t xml:space="preserve">Tasa de Violencia Intrafamiliar  por cien mil habitantes </t>
  </si>
  <si>
    <t>131.9
Fuente; Cosed 2014</t>
  </si>
  <si>
    <t>Delitos sexuales</t>
  </si>
  <si>
    <t>485
Fuente; Cosed 2014</t>
  </si>
  <si>
    <t>Porcentaje de personas que
considera que en Cartagena
se respetan los normas de
convivencia ciudadana</t>
  </si>
  <si>
    <t>17.4
Fuente: Cartagena
como vamos 2014</t>
  </si>
  <si>
    <t>Porcentaje de reducción
del número de pandillas Homicidios, hurtos, y riñas cometidos por
adolescentes y jóvenes que pertenecen a grupos de pandillas en el Distrito de Cartagena</t>
  </si>
  <si>
    <t>51 cuyos victimarios son
adolescentes y jóvenes
que pertenecen a
grupos de pandilla.
Fuente: Policía
Nacional a 2014</t>
  </si>
  <si>
    <t>24 hurtos perpetrados
por adolescentes y
jóvenes que
pertenecen a grupos
de pandilla
Fuente: Policía
Nocional a 2014</t>
  </si>
  <si>
    <t>27 riñas entre
adolescentes y jóvenes
que pertenecen a
grupos de pandilla
Fuente: Policía
Nacional a 2014</t>
  </si>
  <si>
    <t>86 pandillas
Fuente (sec. Interior
2015)</t>
  </si>
  <si>
    <t>Porcentaje de reducción
del Número de   Adolescentes y Jóvenes
que ingresan al Sistema de
Responsabilidad Penal pora
Adolescentes en las
distintas modalidades</t>
  </si>
  <si>
    <t>400 Adolescentes y
Jóvenes que ingresan
al Sistema de
Responsabilidad Penal
para Adolescentes en
las distintas
modalidades
Fuente; Asomenores e
ICBF2014</t>
  </si>
  <si>
    <t>Riesgo de Victimización</t>
  </si>
  <si>
    <t>Centro para la atención integral a las víctimas del conflicto asentados
en el Distrito en  funcionamiento</t>
  </si>
  <si>
    <t>Un punto de atención a víctimas en la modalidad de arriendo insuficiente para la atención de 87.014 víctimas asentados en el Distrito Fuente: Red
Nacional de Información 2016</t>
  </si>
  <si>
    <t>Cobertura de población víctima que ha sido atendida en urgencia
en la modalidad de Albergue y externa Con enfoque de género,
diferencial y étnico</t>
  </si>
  <si>
    <t>cobertura de población víctima que ha sido  atendida en programas de Generación de ingresos, apoyo al auto
sostenimiento, y  vinculación laboral
con enfoque de género,
diferencial y étnico</t>
  </si>
  <si>
    <t>31 % ( 7378 hogares
han recibido
atención sobre un
total de 23800
hogares que
demandan esa
atención)
Fuente: Subdirección
RNI2015</t>
  </si>
  <si>
    <t>Porcentaje de personas víctimas del conflicto que accede avivienda Urbano</t>
  </si>
  <si>
    <t>22% ( 16,375 personas
que manifiestan
contar con vivienda
sobre el total
personas sin
información de
vivienda 73,719)
Fuente: Fonvivienda
2014</t>
  </si>
  <si>
    <t>Cobertura en programas de atención sicosocial y salud mental para Población víctima del
conflicto</t>
  </si>
  <si>
    <t>1% (975 personas
manifiestan haber
recibido rehabilitación
Psicológica sobre
87.014 Victimas)
Fuente: UARIV 2014</t>
  </si>
  <si>
    <t>Museo de Memoria Histórica
construido</t>
  </si>
  <si>
    <t>Mesa Distrital de victimas atendida</t>
  </si>
  <si>
    <t>Mesa Distrital de
Victimas integrada
por 22 lideres</t>
  </si>
  <si>
    <t>Caracterización de la población Victima del Conflicto asentada en
el Distrito realizada</t>
  </si>
  <si>
    <t>Instancia administrativa de
carácter distrital de alto nivel
creada.</t>
  </si>
  <si>
    <t>Programa de Victimas adscrito a la SICC</t>
  </si>
  <si>
    <t>Porcentaje de personas en proceso de reintegración social que
acceden o procesos de
reconciliación en el  Distrito</t>
  </si>
  <si>
    <t>Porcentaje de personas en proceso
de reintegración social que
acceden a iniciativas de generación
de ingresos en el Distrito</t>
  </si>
  <si>
    <t>Solo el 8% (40 de 453
personas en proceso de reintegración social
beneficiadas con iniciativas de  eneración
de ingreso</t>
  </si>
  <si>
    <t>Porcentaje de personas en proceso de  reintegración social que
acceden a una vivienda digna</t>
  </si>
  <si>
    <t>solo el 10% (45 de 453
personas en proceso de
reintegración social
)beneficiadas con
vivienda de Interés social</t>
  </si>
  <si>
    <t>Porcentaje de ejecución de la Política
Publica de DDHH</t>
  </si>
  <si>
    <t>Porcentaje de reducción del número de violaciones a los DDHH en el Distrito</t>
  </si>
  <si>
    <t xml:space="preserve">N° casos de abuso
sexual nna:
397
N° de casos de
denuncias dtendidos
por amenazas: 747
N° de casos
atendidos en trata
de personas: 3
N° de casos por
agresiones físicas, por
discriminación
sexual:4
</t>
  </si>
  <si>
    <t>Porcentaje de los proyectos de
presupuesto porticipativo
contratados.</t>
  </si>
  <si>
    <t>47% (82 proyectos
contratados de 173
priorizados)
Fuente: Secretaría del
Interior y Convivencia
ciudadana</t>
  </si>
  <si>
    <t>Numero de
Comunidades Afro
con planes de
etnodesarrollo
formulados</t>
  </si>
  <si>
    <t>Numero de
comunidades
indígenos con planes
de vida formulados</t>
  </si>
  <si>
    <t>Consejos comunitarios
con titulación
colectiva.</t>
  </si>
  <si>
    <t>Consejos comunitarios
con reglamentos
internos tormulados</t>
  </si>
  <si>
    <t>Comunidades Atros
con guardia ancestral
conformada.</t>
  </si>
  <si>
    <t>Organizaciones
Afrodescendiente
Fortalecidas</t>
  </si>
  <si>
    <t>Observatorio
Organizado</t>
  </si>
  <si>
    <t>Investigaciones
realizadas por el
ODAR.</t>
  </si>
  <si>
    <t>Campañas
antidiscriminación
realizadas por el
ODAR.</t>
  </si>
  <si>
    <t>Funcionarios
capacitados en
Enfoque
diferencial</t>
  </si>
  <si>
    <t>iniciativas de
ennprendimiento
Indígenas en el
Distrito</t>
  </si>
  <si>
    <t>iniciativas de
ennprendimiento de
Población Afro</t>
  </si>
  <si>
    <t>Familias
Afrodescendientes
caracterizadas y
atendidas.</t>
  </si>
  <si>
    <t>Plan Integral de
seguridad y
convivencia
ciudadana
Formulado y
ejecutado.</t>
  </si>
  <si>
    <t>Consejos
Comunales de
Seguridad
realizados</t>
  </si>
  <si>
    <t>Campañas de
promoción de la
denuncia
ciudadana
realizadas
anualmente</t>
  </si>
  <si>
    <t>Barrios priorizados
con entornos
urbanos
recuperados para
la convivencia.</t>
  </si>
  <si>
    <t>Operativos de
control a juegos de
azar y espectáculos
públicos realizados
en el Distrito</t>
  </si>
  <si>
    <t>Convenio con el
INPEC</t>
  </si>
  <si>
    <t>1 estación de
Bomberos terrestre
en el Distrito.</t>
  </si>
  <si>
    <t>1 estación de
Bomberos acuática
en el Distrito.</t>
  </si>
  <si>
    <t xml:space="preserve">Estaciones de
Bomberos existentes dotadas con equipos  operativos y de rescate, control de incendios e incidentes con materiales peligrosos
</t>
  </si>
  <si>
    <t>Conciliadores en
equidad
actualizados
normativamente.</t>
  </si>
  <si>
    <t>Nuevos
Conciliadores
formados.</t>
  </si>
  <si>
    <t>Jornadas de
Justicia a los
barrios
realizadas.</t>
  </si>
  <si>
    <t>Compaña de
promoción de
buenas prácticas
ciudadanas
realizados</t>
  </si>
  <si>
    <t>Festivales para
convivencia
realizados.</t>
  </si>
  <si>
    <t>Estrategia de
Atención y
orientación
Psicosocial a
familias y jóvenes
vinculados a
pandillas
diseñada</t>
  </si>
  <si>
    <t>Banco de
iniciativas
juveniles pora
promover
emprendimiento.</t>
  </si>
  <si>
    <t>Festivales
deportivos
juveniles en los
barrios
priorizados.</t>
  </si>
  <si>
    <t>Festivales
artísticos juveniles
en los barrios
priorizados.</t>
  </si>
  <si>
    <t>Mesas de Dialogo
Realizadas con
grupos de
pandillas</t>
  </si>
  <si>
    <t>Convenio con
ASOMENORES
suscrito
anualmente.</t>
  </si>
  <si>
    <t>Plan Distrital de
prevención y
protección de
violaciones graves a
los DDHH y DIH
implementodo</t>
  </si>
  <si>
    <t>Centro para la
atención integral a
las víctimas del
conflicto asentadas
en el Distrito
Construido</t>
  </si>
  <si>
    <t>Atención inmediata
con enfoque de
género, diferencial y
étnico a Víctimas del
Conflicto</t>
  </si>
  <si>
    <t>Programas de
Generación de
ingresos, auto
sostenimiento y
alianzas estratégicas
para procesos de
vinculación laboral
con enfoque de
género, diferencial y
étnico garantizado.</t>
  </si>
  <si>
    <t>Personas víctimas
del conflicto que
accede o vivienda
Urbana</t>
  </si>
  <si>
    <t>Personas víctimas
del conflicto que
accede a soluciones
de mejoramiento de
hiabitabilidad</t>
  </si>
  <si>
    <t>Personas víctimas
del conflicto que
accede a
programas de
atención sicosocial y
salud mental</t>
  </si>
  <si>
    <t>Museo de Memoria
Histórica construido
y al servicio de las
víctimas y la
sociedad.</t>
  </si>
  <si>
    <t>Representantes de
la población victima
que reciben
incentivos técnicos y
logísticos para
participar en
espacios de
participación</t>
  </si>
  <si>
    <t>Estrategia de
caracterización con
enfoque de género,
diferencial y étnico
de la población
víctima del conflicto
implementada</t>
  </si>
  <si>
    <t>Instancia
administrativa de
carácter distrital de
alto nivel creado.</t>
  </si>
  <si>
    <t>Mesas de Diálogo y
reconciliación
Realizados</t>
  </si>
  <si>
    <t>Personas en proceso
de reintegración
social como gestores
de Paz.</t>
  </si>
  <si>
    <t>Población
desmovilizada que
accede o iniciativas
productivas de
generación de
ingreso</t>
  </si>
  <si>
    <t>Población
desmovilizada que
accede a viviendas de ínteres social</t>
  </si>
  <si>
    <t>Una política Pública
de DDHH Formulada y
ejecutada</t>
  </si>
  <si>
    <t>Jornadas de
Promoción,
Prevención y
atención en DDHH,</t>
  </si>
  <si>
    <t>Jornadas de
Promoción,
Prevención y
atención en ESCNNA</t>
  </si>
  <si>
    <t>Jornadas de
Promoción,
Prevención y
atención en Trata de
personas realizadas</t>
  </si>
  <si>
    <t>Acuerdo Modificado</t>
  </si>
  <si>
    <t>Ejercicios de
priorización de
Presupuesto
Participotivo realizados
en el Distrito</t>
  </si>
  <si>
    <t>Proyectos Priorizados en
cada UCG según eje
de Inversión.</t>
  </si>
  <si>
    <t>Proyectos priorizados
contratados</t>
  </si>
  <si>
    <t>3 de 28 comunidades
afros con planes de
etnodesarrollo</t>
  </si>
  <si>
    <t>2 Investigaciones
realizadas: 1Memoria
Histórica de Casos de
Discriminación Racial
en Cartagena 2005-
2015
2. Discriminación de
Mercado en los
empresas privadas en
Cartagena:
Determinantes para
posiciones de Alto
rango de
Afrocolombianos.
Palengueros y raizales.</t>
  </si>
  <si>
    <t>1 Campaña "Ser Negro
es Hermoso"</t>
  </si>
  <si>
    <t>1 Plan formulado</t>
  </si>
  <si>
    <t>2 campañas realizadas</t>
  </si>
  <si>
    <t>15 Entornos Urbanos
deteriorados
recuperados</t>
  </si>
  <si>
    <t>25 Operativos de control
a  juegos de azar</t>
  </si>
  <si>
    <t>85 Operativos de control
a espectáculos públicos</t>
  </si>
  <si>
    <t>40 conciliadores
capacitados en el
Distrito.</t>
  </si>
  <si>
    <t>40 Conciliadores en
Equidad</t>
  </si>
  <si>
    <t>800 jóvenes
atendidos</t>
  </si>
  <si>
    <t>2 mesas de Paz
realizadas en 2015</t>
  </si>
  <si>
    <t>Un Convenio
Asomenores 2015</t>
  </si>
  <si>
    <t>Un albergue de
atención
Humanidad en
modalidad de
convenio</t>
  </si>
  <si>
    <t>7378 hogares tian
accedido a
programas de
generación de
ingreso.</t>
  </si>
  <si>
    <t>16,375 personas que
manifiestan contar
con vivienda</t>
  </si>
  <si>
    <t>975 personas</t>
  </si>
  <si>
    <t>Programa de
Victimas adscrito a la SiCC</t>
  </si>
  <si>
    <t>1 Comité DDHH</t>
  </si>
  <si>
    <t>Ultima Priorización
realizada en 2009</t>
  </si>
  <si>
    <t>173 proyectos
priorizados en los
ejercicios de 2007 Y
2009</t>
  </si>
  <si>
    <t>82 Proyectosde las
priorizaciones de
2007 Y 2009</t>
  </si>
  <si>
    <t>2017-13001-0008</t>
  </si>
  <si>
    <t>Fortalecimiento de los mecanismos institucionales y comunitarios de prevención y reacción a situaciones de riesgo por conductas delictivas en  Cartagena</t>
  </si>
  <si>
    <t>2017-13001-0011</t>
  </si>
  <si>
    <t>Fortalecimiento institucional de la secretaría del interior y convivencia ciudadana</t>
  </si>
  <si>
    <t>2017-13001-0012</t>
  </si>
  <si>
    <t>Fortalecimiento y atención integral a internos de los establecimientos carcelarios de Cartagena</t>
  </si>
  <si>
    <t>2017-13001-0010</t>
  </si>
  <si>
    <t>Fortalecimiento del cuerpo de bomberos de cartagena para optimizar su nivel de anticipación y mitigacion de incendios y otras calamidades conexas de cara al actual posicionamiento de la ciudad y sus proyecciones de crecimiento. Cartagena</t>
  </si>
  <si>
    <t>2017-13001-0025</t>
  </si>
  <si>
    <t xml:space="preserve"> Fortalecimiento del Sistema Distrital de Acceso a la Justicia Cercano al Ciudadano: Casas de Justicia, Inspecciones de polica, Comisarias de familia y Conciliadores en equidad. Cartagena</t>
  </si>
  <si>
    <t>Formación Cartagena por la convivencia</t>
  </si>
  <si>
    <t>2017-13001-0014</t>
  </si>
  <si>
    <t>Asistencia, atención y reparación integral a las víctimas del conflicto Armado</t>
  </si>
  <si>
    <t>2018-13001-0280</t>
  </si>
  <si>
    <t xml:space="preserve">Fortalecimiento del  proceso de reintegración social en el Distrito de Cartagena </t>
  </si>
  <si>
    <t>2017-13001-0013</t>
  </si>
  <si>
    <t xml:space="preserve">Promoción y Protección de los Derechos Humanos en el Distrito de Cartagena </t>
  </si>
  <si>
    <t>2017-13001-0015</t>
  </si>
  <si>
    <t>Según priorización</t>
  </si>
  <si>
    <t>Plan formulado para el periodo 2016-2019 y en ejecución</t>
  </si>
  <si>
    <t>22 miembros de la mesa de victimas beneficiados</t>
  </si>
  <si>
    <t>1 documento de política pública construido en 2017</t>
  </si>
  <si>
    <t>Suscribir convenio interadministrativo con dirección general del INPEC para recibo y atención de población masculina con medidas de aseguramiento.</t>
  </si>
  <si>
    <t>Cárcel Distrital de
Cartagena
funcionando en
inmueble que
cumpla
condiciones de
seguridad.</t>
  </si>
  <si>
    <t>Acompañar a los 26
consejos comunitarios en
el proceso de
conformación de
guardas ancestrales</t>
  </si>
  <si>
    <t xml:space="preserve"> Garantizar el equipo técnico, jurídico y psicosocial de inspecciones de policía, casas de justicia y comisarias de familia, con el  perfil requerido y de manera permanente.</t>
  </si>
  <si>
    <t>Implementar plan
Distrital de
Prevención y
protección de
violaciones graves a
los DDHH y DIH</t>
  </si>
  <si>
    <t>Medidas de prevención temprana y urgente adoptadas</t>
  </si>
  <si>
    <t>operativos realizados de control y seguimiento  a  juegos de azar.</t>
  </si>
  <si>
    <t>Operativos de
control a espectáculos
públicos realizados
en el Distrito</t>
  </si>
  <si>
    <t>convenio suscrito con INPEC</t>
  </si>
  <si>
    <t xml:space="preserve"> estaciones de Bomberos existentes dotadas </t>
  </si>
  <si>
    <t>Realizar  consejos
comunales de
seguridad
 en los
barrios con mayores
índices de Violencia</t>
  </si>
  <si>
    <t xml:space="preserve">Realizar  operativos
de control a juegos
de azar en el Distrito
</t>
  </si>
  <si>
    <t xml:space="preserve">Realizar 
Operativos de control
a espectáculos
públicos en el Distrito
</t>
  </si>
  <si>
    <t>Casas de Justicia Moviles realizadas</t>
  </si>
  <si>
    <t>Inspecciones de Policia, Casas de Justica y comisarias de familia fortalecidas  con personal técnico(ingenierosy/o arquitectos), jurídico y psicosocial contratado</t>
  </si>
  <si>
    <t xml:space="preserve">Carcel distrital funcionando en Inmueble tempotal </t>
  </si>
  <si>
    <t>Personal  juridico,medico y psico-social contratado</t>
  </si>
  <si>
    <t xml:space="preserve"> jovenes  atendidos 
Psicosocialmente </t>
  </si>
  <si>
    <t>Garantizar atención
inmediata con
enfoque de género,
diferencial y étnico
a  victimas del
conflicto</t>
  </si>
  <si>
    <t>hogares victimas del conflicto beneficiarios  de Iniciativas de Generacion de ingresos</t>
  </si>
  <si>
    <t xml:space="preserve"> hogares victimas del conflicto que acceden a vivienda propia</t>
  </si>
  <si>
    <t xml:space="preserve"> hogares victimas del conflicto que acceden a soluciones de habitabilidad</t>
  </si>
  <si>
    <t xml:space="preserve">Representantes de la población victima que reciben
incentivos técnicos y logísticos </t>
  </si>
  <si>
    <t>Garantizar que los
miembros de la
mesa Distrital de
Víctimas accedan a
incentivos técnicos y
logísticos para la
participación
efectiva.</t>
  </si>
  <si>
    <t>Fortalecimiento de los mecanismos comunitarios de prevención del delito</t>
  </si>
  <si>
    <t>ICLD</t>
  </si>
  <si>
    <t>Diagnistico de
lo Política Pública
de DDHH en el
Distrito.</t>
  </si>
  <si>
    <t>Por seleccionar de acuerdo a solicitudes de las comunidades</t>
  </si>
  <si>
    <t>Población Carcelaria Femenina</t>
  </si>
  <si>
    <t>Población Victima solicitante de medidas de proteccion</t>
  </si>
  <si>
    <t xml:space="preserve">22 Representantes de la población victima </t>
  </si>
  <si>
    <t>Población Carcelaria Masculina sindicada</t>
  </si>
  <si>
    <t xml:space="preserve">ACTIVIDADES DEL PROYECTO </t>
  </si>
  <si>
    <t xml:space="preserve">NOMBRE INDICADOR </t>
  </si>
  <si>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>Dotar con equipos operativos de rescate, control de incendios e incidentes con materiales peligrosos las  estaciones de Bomberos existentes.</t>
    </r>
  </si>
  <si>
    <t>453 personas en proceso
de reintegración o
reinsertados en el Distrito.
Fuente: ACR</t>
  </si>
  <si>
    <t>Construcción de  un centro para la atención integral o las víctimas del conflicto asentadas en el Distrito</t>
  </si>
  <si>
    <t>Garantizar el acceso
a programas de
atención psicosocial y
salud mental a víctimas del
conflicto asentada
en el Distrito con
enfoque de género,
diferencial y étnico</t>
  </si>
  <si>
    <t>2017-13001-0009</t>
  </si>
  <si>
    <t>2017-13001-0007</t>
  </si>
  <si>
    <t>40 conciliadores reactivados</t>
  </si>
  <si>
    <t>Un punto de
atención o víctimas
en la modalidad de
arriendo insuficiente
para la atención de
119,485 víctimas
asentados en el
Distrito</t>
  </si>
  <si>
    <t>1 punto de atención a victimas adecuado en 2019</t>
  </si>
  <si>
    <t>David Munera Cavadia
Secretario del Interior</t>
  </si>
  <si>
    <t>APROPIACION INICIAL 2020</t>
  </si>
  <si>
    <t xml:space="preserve">Fortalecimiento de los grupos  étnicos en el contexto de los derechos  con enfoque diferencial en el distrito de Cartagena </t>
  </si>
  <si>
    <t xml:space="preserve">David Munera Cavadia
Secretario del Interior </t>
  </si>
  <si>
    <t xml:space="preserve">David Munera Cavadia 
Secretario del Interior </t>
  </si>
  <si>
    <t>Garantizar arriendo  del  inmueble donde fue trasladada  la  Carcel Distrital de Cartagena</t>
  </si>
  <si>
    <t>Realizar 9 jornadas de
"Justicia a los barrios" para  acercar los
servicios de justicia a la
ciudadanía.</t>
  </si>
  <si>
    <t xml:space="preserve">Atender Psicosocialmente  a
50 jóvenes
vinculados a
pandillas.
</t>
  </si>
  <si>
    <t>50 jóvenes
vinculados a
pandillas.</t>
  </si>
  <si>
    <t>VALOR  A  2020</t>
  </si>
  <si>
    <t>AVANCE ACUMULADO  META PRODUCTO 2016-2019</t>
  </si>
  <si>
    <t>El 27 de Diciembre de 2019  fue aprobado el Acuerdo 187 por medio del cual se crea el Consejo de Paz, Recocnicliación, Convivencia y DDHH en el Distrito de Cartagena.</t>
  </si>
  <si>
    <t>No se programan actividades para este  proyecto por que en  cuerdo N° 018 de fecha 23 de Diciembre de 2019 y decreto de liquidación N° 1564 de 27 de Diciembre de 2019 no se asignan recursos para su ejecución en la vigencia 2020.</t>
  </si>
  <si>
    <t>No se programan actividades para el proyecto por que en  cuerdo N° 018 de fecha 23 de Diciembre de 2019 y decreto de liquidación N° 1564 de 27 de Diciembre de 2019 no se asignan recursos para su ejecución en la vigencia 2020.</t>
  </si>
  <si>
    <t>No se programan actividades para este subprograma debido a que  en  cuerdo N° 018 de fecha 23 de Diciembre de 2019 y decreto de liquidación N° 1564 de 27 de Diciembre de 2019 no se asignan recursos para su ejecución en la vigencia 2020.</t>
  </si>
  <si>
    <t>No se programan actividades para el proyecto por que en  cuerdo N° 018 de fecha 23 de Diciembre de 2019 y decreto de liquidación N° 1564 de 27 de Diciembre de 2019 no se asignan recursos para para su ejecución en la vigencia 2020.</t>
  </si>
  <si>
    <t>Coordinar con Corvivienda  el acceso
a vivienda Urbana  personas
víctimas del
conflicto</t>
  </si>
  <si>
    <t>Coordinar con Corvivienda  el acceso
a solución de
mejoramiento de
habitabilidad a 
víctimas del
conflicto.</t>
  </si>
  <si>
    <t xml:space="preserve"> poblacion victima atendida  en albergue de
atención
Humanidad </t>
  </si>
  <si>
    <t xml:space="preserve">caravanas de seguridad realizadas
</t>
  </si>
  <si>
    <t xml:space="preserve">caravanas de seguridad realizadas
</t>
  </si>
  <si>
    <t>Totalidad habitantes del Distrito de Cartagena</t>
  </si>
  <si>
    <t>Formular y aprobar  PISCC 2020-2023</t>
  </si>
  <si>
    <t xml:space="preserve">Realizar campañas de  promoción de la
denuncia ciudadana
</t>
  </si>
  <si>
    <t xml:space="preserve"> PISCC formulado y aprobado</t>
  </si>
  <si>
    <t>Fortalecimiento  de la Secretaría del Interior y convivencia ciudadana</t>
  </si>
  <si>
    <t>Fortalecimiento y atención integral a internos de los establecimientos carcelarios</t>
  </si>
  <si>
    <t>Fortalecimiento y atención integral a internos de los establecimientos carcelarios-TRASLADO CARCEL SAN DIEGO</t>
  </si>
  <si>
    <t xml:space="preserve">Fortalecimiento y atención integral a internos de los establecimientos carcelarios- CONVENIO INPEC  </t>
  </si>
  <si>
    <t>Fortalecimiento del cuerpo de Bomberos   para optimizar su nivel de anticipación y mitigación de incendios</t>
  </si>
  <si>
    <t xml:space="preserve">
Rendimientos financieros sobretasa bomberil
</t>
  </si>
  <si>
    <t>Fortalecimiento sistema acceso a justicia cercana al ciudadano: Inspecciones de policía, comisarias de familia y casas de justicia.</t>
  </si>
  <si>
    <t>ICLD
Rendimientos financieros ICLD</t>
  </si>
  <si>
    <t xml:space="preserve">ICLD
</t>
  </si>
  <si>
    <t>Asistencia integral de niños, adolescentes y jovenes vinculados a actividades delictivas, con flicto con la ley penal</t>
  </si>
  <si>
    <t xml:space="preserve"> Coordinar con el PES  y el gobierno nacional el acceso
de hogares
Victimas del
conflicto armado a
programas de
Generación de
ingresos y auto
sostenimiento con
enfoque de género,
diferencial y étnico</t>
  </si>
  <si>
    <t>Asistencia, atención  y reparación integral a víctimas del conflicto armado</t>
  </si>
  <si>
    <t xml:space="preserve">campañas de  promoción de la
denuncia ciudadana realizadas
</t>
  </si>
  <si>
    <t xml:space="preserve">impuesto de obras viales
Multas código nacional de policía </t>
  </si>
  <si>
    <t xml:space="preserve">David  Munera Cavadia
Secretario del Interior </t>
  </si>
  <si>
    <t>Garantizar la  atención juridica,médica y  psicosocial a las internas de la carcel Distrital</t>
  </si>
  <si>
    <t>Realizar Caravanas de seguridad en los
barrios con mayores
índices de Violencia</t>
  </si>
  <si>
    <t>Asistencia y Atención integral a los niños, niñas,  adolescentes y jóvenes vinculados a actividades delictivas y en conflicto con la ley penal.de Cartagena</t>
  </si>
  <si>
    <t>Este programa  NO ESTA ACTIVO debido a que  en  cuerdo N° 018 de fecha 23 de Diciembre de 2019 y decreto de liquidación N° 1564 de 27 de Diciembre de 2019 no se asignan recursos para su ejecución en la vigencia 2020.</t>
  </si>
  <si>
    <t>Este Subprograma  NO ESTA ACTIVO debido a que  en  cuerdo N° 018 de fecha 23 de Diciembre de 2019 y decreto de liquidación N° 1564 de 27 de Diciembre de 2019 no se asignan recursos para su ejecución en la vigencia 2020.</t>
  </si>
  <si>
    <t>Este subprograma  NO ESTA ACTIVO debido a que  en  cuerdo N° 018 de fecha 23 de Diciembre de 2019 y decreto de liquidación N° 1564 de 27 de Diciembre de 2019 no se asignan recursos para su ejecución en la vigencia 2020</t>
  </si>
  <si>
    <t>AVANCE METAS RESULTADO 
30 DE MARZO</t>
  </si>
  <si>
    <t>AVANCE METAS PRODUCTO 
 30 DE MARZO</t>
  </si>
  <si>
    <t>META NO PROGRAMADA 2020</t>
  </si>
  <si>
    <t>AVANCE  ACTIVIDA PROYECTO 
30 DE MARZO</t>
  </si>
  <si>
    <t>personas victimas que requieran atención inmediata</t>
  </si>
  <si>
    <t xml:space="preserve">50  hogares victimas </t>
  </si>
  <si>
    <t>50  hogares victimas</t>
  </si>
  <si>
    <t>50 hogares victimas</t>
  </si>
  <si>
    <t>100  personas victimas</t>
  </si>
  <si>
    <t>Este sub programa  NO ESTA ACTIVO debido a que  en  cuerdo N° 018 de fecha 23 de Diciembre de 2019 y decreto de liquidación N° 1564 de 27 de Diciembre de 2019 no se asignan recursos para su ejecución en la vigencia 2020.</t>
  </si>
  <si>
    <t>44 homicidios
Fuente: Policia Metropolitana</t>
  </si>
  <si>
    <t>23 extorsiones reportadas
Fuente: Policia Metropolitana</t>
  </si>
  <si>
    <t>1269 hurtos reportados
Fuente: Policia Metropolitana</t>
  </si>
  <si>
    <t>158 hurtos reportados
Fuente: Policia Metropolitana</t>
  </si>
  <si>
    <t>Carcel funcionando en inmbueble en calidad de arriendo</t>
  </si>
  <si>
    <t>677 casos reportados
Fuente:Policia Metropolitana</t>
  </si>
  <si>
    <t>166  casos reportados
Fuente:Policia Metropolitana</t>
  </si>
  <si>
    <t>4
Fuente:Policia Metropolitana</t>
  </si>
  <si>
    <t>se adjunta  evidencia</t>
  </si>
  <si>
    <t>EJECUTADO A 30 DE MARZO</t>
  </si>
  <si>
    <t>En proceso de construcción PISC 2020-2023</t>
  </si>
  <si>
    <t>META CUMPLIDA EN 2018</t>
  </si>
  <si>
    <t>11% (1261
atenciones/11 mil
Reclaraciones
promedio en los
últimos 4 años)
Fuente SICC:2015</t>
  </si>
  <si>
    <t>EL  CUMPLIMIENTO DE ESTA META DEPENDE DE CORVIVIENDA</t>
  </si>
  <si>
    <t>La meta de atender 6825 al cuatrienio, ya fue cumplida</t>
  </si>
  <si>
    <t>SIN RECURSOS PARA GARANTIZAR ESTA META EN 2020</t>
  </si>
  <si>
    <t>PLAN INTEGRAL DE SEGURIDAD CIUDADANA - Recursos FONSET</t>
  </si>
  <si>
    <t>En proceso de construcción PISCC 2020-2023</t>
  </si>
  <si>
    <t>Evidencia reposa en archivo SICC</t>
  </si>
  <si>
    <t>Contrato suscrito mediante Rp N° 77 de fecha 11 de febrero de 2020 reposa en archivo SICC</t>
  </si>
  <si>
    <t>Las 18 OPS  siscritas se encuentras en archivo de la SICC</t>
  </si>
  <si>
    <t>En espera de definición de la distribución de la inversión en el convenio, por parte del INPEC</t>
  </si>
  <si>
    <t>Con los  recursos asignados sólo alcanza para garantizar el personal administrativo  y la gasolina de los carros bomberiles, en lo cual se invirtieron los 208 millones ejecutados a corte 30 de marzo.
Los contratos todos reposan en archivo SICC</t>
  </si>
  <si>
    <t>Los contratos de prestación de servicios suscritos reposan en archivo de la SICC</t>
  </si>
  <si>
    <t>No se realizó ninguna en el período,  para dar cumplimiento a los protocolos de prevención del COVID-19</t>
  </si>
  <si>
    <t xml:space="preserve">Se adjunta informe </t>
  </si>
  <si>
    <t>evidencia por seguridad reposa en la SICC</t>
  </si>
  <si>
    <t>evidencia de las personas victimas atendidas,por seguridad, reposa en la SICC. Y se ralizó con apoyo de gestión interinstitucional.</t>
  </si>
  <si>
    <t>El registro de las personas victmas atendidas Psicosocialmente reposa en el CAV.</t>
  </si>
  <si>
    <t>Plan diseñado, aprobado y en ejecución</t>
  </si>
  <si>
    <t>AVANCE METAS RESULTADO 
30 DE JUNIO</t>
  </si>
  <si>
    <t>AVANCE METAS PRODUCTO 
 30 DE JUNIO</t>
  </si>
  <si>
    <t>AVANCE  ACTIVIDA PROYECTO 
30 DE JUNIO</t>
  </si>
  <si>
    <t>OBSERVACIONES
30 de Marzo</t>
  </si>
  <si>
    <t>OBSERVACIONES
30 Junio</t>
  </si>
  <si>
    <t>Por Emergencia Covid-19 suspendidos todos los espectaculos publicos en la ciudad</t>
  </si>
  <si>
    <t>El contrato de arriedno  suscrito tiene vigencia hasta el 31 de Diciembre de 2020</t>
  </si>
  <si>
    <t>Todas realizadas en el marco Covid-19: 14 Pozón, 5 en Nelson Mandela, 3 Bazurto, Uno en San Fernando, 1 en la Maria y Esperanza, uno en Olaya, Uno en la Boquilla. Se adjunta  evidencia</t>
  </si>
  <si>
    <t>Por Emergencia Covid-19  suspendidos todos los espectaculos publicos en la ciudad</t>
  </si>
  <si>
    <t>En este priodo no se contrataron OPS.</t>
  </si>
  <si>
    <t>Se suscribirá apenas se supere etepa de armonización presupuestal</t>
  </si>
  <si>
    <t>No se contrató  OPS  en este  periodo de reporte.</t>
  </si>
  <si>
    <t>No se realizó ninguna en el período,  para dar cumplimiento a los protocolos de seguridad  COVID-19</t>
  </si>
  <si>
    <t>50 homicidios
Fuente: Policia Metropolitana</t>
  </si>
  <si>
    <t>25 extorsiones reportadas
Fuente: Policia Metropolitana</t>
  </si>
  <si>
    <t>562  hurtos reportados
Fuente: Policia Metropolitana</t>
  </si>
  <si>
    <t>103  hurtos reportados
Fuente: Policia Metropolitana</t>
  </si>
  <si>
    <t>242 casos reportados
Fuente:Policia Metropolitana</t>
  </si>
  <si>
    <t>60  casos reportados
Fuente:Policia Metropolitana</t>
  </si>
  <si>
    <t>7
Fuente:Policia Metropolitana</t>
  </si>
  <si>
    <t>1 PISCC 2020-2023  formulado y aprobado</t>
  </si>
  <si>
    <t>NO se han incorporado los recursos que garanticen cumplimiento de la meta</t>
  </si>
  <si>
    <t>EJECUTADO A 30 DE JUNIO</t>
  </si>
  <si>
    <t>Se contrata albergue mediante RP N112 del1 de abril de 2020. Expediente Reposa en los archivos de la SICC</t>
  </si>
  <si>
    <t>1 caracterizacion realizada en 2018</t>
  </si>
  <si>
    <t>Se entregaron 50 bonos de ayuda humanitaria por pandemia a los 24 miembros de la Mesa de participación efectiva de víctimas y otros líderes/as víctimas, ubicados en redes de apoyo y comunidades. Losbonos fueron aportados por la oficina Distrital de Gestión del Riesgo.
- Incentivos a 24 miembros de la Mesa de Participación efectiva participantes en una sesion virtual realizadas el 18 de junio para formulación PAT.</t>
  </si>
  <si>
    <t>PISCC 2020-2023  aprobado por Comité de Orden Público el 30 de Junio de 2020 mediante acta N° 004, la cual reposa en los archivos de la SICC.</t>
  </si>
  <si>
    <t>Se realizaron virtuales en razon al Covid-19. 
Se adjunta  evidencia</t>
  </si>
  <si>
    <t xml:space="preserve"> Se realizaron 2 reuniones virtuales de articulación  para revisar las acciones y dar respuesta a las recomendaciones de las Alertas Tempranas 002 y 006 de 2020. Evidencia por seguridad reposa en la SICC</t>
  </si>
  <si>
    <t>EVALUACION METAS PROYECTOS SEGÚN PLANEACION</t>
  </si>
  <si>
    <t>EVALUACION METAS PROYECTOS POR SUBPROGRAMAS SEGÚN PLANEACION</t>
  </si>
  <si>
    <t>EVALUACION METAS PROYECTOS POR PROGRAMAS SEGÚN PLANEACION</t>
  </si>
  <si>
    <t>CODIGO</t>
  </si>
  <si>
    <t>APROPIACION DEFINITIVA POR SUBPROGRAMAS SEGÚN PREDIS</t>
  </si>
  <si>
    <t>EJECUCION POR SUBPROGRAMAS SEGÚN PREDIS</t>
  </si>
  <si>
    <t>APROPIACION DEFINITIVA POR PROGRAMAS SEGÚN PREDIS</t>
  </si>
  <si>
    <t>EJECUCION POR PROGRAMAS SEGÚN PREDIS</t>
  </si>
  <si>
    <t>PORCENTAJE EJECUTADO</t>
  </si>
  <si>
    <t>02-001-06-20-03-01-01-02</t>
  </si>
  <si>
    <t>INGRESOS CORRIENTES DE LIBRE DESTINACION</t>
  </si>
  <si>
    <t>FORTALECIMIENTO DE LOS MECANISMOS COMUNITARIOS DE PREVENCION DEL DELITO - Ingresos Corrientes de Libre Destinacion</t>
  </si>
  <si>
    <t>02-007-06-20-03-01-01-01</t>
  </si>
  <si>
    <t>RECURSOS FONSET-FONSECON</t>
  </si>
  <si>
    <t>02-040-06-20-03-01-01-01</t>
  </si>
  <si>
    <t>Contribución de Contratos de Obras Publicas</t>
  </si>
  <si>
    <t>PLAN INTEGRAL DE SEGURIDAD CIUDADANA - Contribucion de Contratos de Obras Publicas</t>
  </si>
  <si>
    <t>02-120-06-20-03-01-01-01</t>
  </si>
  <si>
    <t>MULTAS (Codigo Nacional de Policia)</t>
  </si>
  <si>
    <t>PLAN INTEGRAL DE SEGURIDAD CIUDADANA - Multas (Codigo Nacional de Policia)</t>
  </si>
  <si>
    <t>02-001-06-20-03-01-02-01</t>
  </si>
  <si>
    <t>FORTALECIMIENTO DE LA SECRETARIA DEL INTERIOR Y CONVIVENCIA CIUDADANA - Ingresos Corrientes de Libre Destinacion</t>
  </si>
  <si>
    <t>02-001-06-20-03-01-02-02</t>
  </si>
  <si>
    <t>FORTALECIMIENTO Y ATENCION INTEGRAL A INTERNOS DE LOS ESTABLECIMIENTOS CARCELARIOS - CONVENIO INPEC - Ingresos Corrientes de Libre Destinacion</t>
  </si>
  <si>
    <t>02-001-06-20-03-01-02-03</t>
  </si>
  <si>
    <t>FORTALECIMIENTO Y ATENCION INTEGRAL A INTERNOS DE LOS ESTABLECIMIENTOS CARCELARIOS  - Ingresos Corrientes de Libre Destinacion</t>
  </si>
  <si>
    <t>02-001-06-20-03-01-02-04</t>
  </si>
  <si>
    <t>FORTALECIMIENTO Y ATENCION INTEGRAL A INTERNOS DE LOS ESTABLECIMIENTOS CARCELARIOS - TRASLADO CARCEL DE SAN DIEGO - Ingresos Corrientes de Libre Destinacion</t>
  </si>
  <si>
    <t>02-005-06-95-03-01-02-01</t>
  </si>
  <si>
    <t>CONVENIOS</t>
  </si>
  <si>
    <t>CONVENIO INTERADIMINISTRATIVO MINISTERIO DEL INTERIOR FONDO NACIONAL DE SEGURIDAD Y CONVIVENCIA CIUDADANA FONSECON - DISTRITO DE CARTAGENA DE INDIAS - Convenios</t>
  </si>
  <si>
    <t>02-044-06-20-03-01-02-01</t>
  </si>
  <si>
    <t>RENDIMIENTOS FINANCIEROS SOBRETASA BOMBERIL</t>
  </si>
  <si>
    <t>FORTALECIMIENTO DEL CUERPO DE BOMBREOS DE CARTAGENA PARA OPTIMIZAR SU NIVEL DE ANTICIPACION Y MITIGACION DE INCENDIOS - Rendimientos financieros Sobretasa Bomberil</t>
  </si>
  <si>
    <t>02-001-06-10-03-01-03-01</t>
  </si>
  <si>
    <t>FORTALECIMIENTO SISTEMA  ACCESO A JUSTICIA CERCANA AL CIUDADANO: CASAS DE JUSTICIA,INSPECCIONES Y COMISARIAS - Ingresos Corrientes de Libre Destinacion</t>
  </si>
  <si>
    <t>02-037-06-10-03-01-03-01</t>
  </si>
  <si>
    <t>RENDIMIENTOS FINANCIEROS  ICLD</t>
  </si>
  <si>
    <t>FORTALECIMIENTO SISTEMA  ACCESO A JUSTICIA CERCANA AL CIUDADANO: CASAS DE JUSTICIA,INSPECCIONES Y COMISARIAS - Rendimientos Financieros ICLD</t>
  </si>
  <si>
    <t>02-001-06-20-03-01-05-01</t>
  </si>
  <si>
    <t>ASISTENCIA INTEGRAL DE NI?OS, ADOLECENTES Y JOVENES VINCULADOS ACTIVIDADES DELICTIVAS,CONFLICTOS CON LEY PENAL - Ingresos Corrientes de Libre Destinacion</t>
  </si>
  <si>
    <t>02-001-06-20-03-02-01-01</t>
  </si>
  <si>
    <t>ASISTENCIA, ATENCION Y REPARACION INTEGRAL A VICTIMAS DEL CONFLICTO ARMADO - Ingresos Corrientes de Libre Destinacion</t>
  </si>
  <si>
    <t>EVALUACION METAS PRODUCTOS A JUNIO 30 DE 2020</t>
  </si>
  <si>
    <t>EVALUACION METAS PRODUCTOS 2016 A 30 DE JUNIO DE 2020</t>
  </si>
  <si>
    <t>AVANCE METAS PRODUCTOS 2016 A JUNIO 30 POR SUBPROGRAMAS</t>
  </si>
  <si>
    <t>AVANCE METAS PRODUCTOS  2016 A JUNIO 30 DE 2020 POR PROGRAMAS</t>
  </si>
  <si>
    <t>METAS PRODUCTO 2020</t>
  </si>
  <si>
    <t>NO SE PROGRAMA</t>
  </si>
  <si>
    <t>NO SE PROGRAMA EJECUCION. SE DEBE FORMULAR NUEVO PISCC</t>
  </si>
  <si>
    <t xml:space="preserve"> Carcel Distrital trasladada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</si>
</sst>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&quot;$&quot;\ #,##0.00"/>
    <numFmt numFmtId="169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7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3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0" xfId="0" applyFill="1"/>
    <xf numFmtId="0" fontId="0" fillId="0" borderId="12" xfId="0" applyFill="1" applyBorder="1" applyAlignment="1">
      <alignment horizontal="center" vertical="top" wrapText="1"/>
    </xf>
    <xf numFmtId="0" fontId="5" fillId="0" borderId="1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5" xfId="0" applyFill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5" fillId="0" borderId="4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/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right"/>
    </xf>
    <xf numFmtId="14" fontId="0" fillId="4" borderId="5" xfId="0" applyNumberFormat="1" applyFill="1" applyBorder="1"/>
    <xf numFmtId="39" fontId="0" fillId="4" borderId="5" xfId="2" applyNumberFormat="1" applyFont="1" applyFill="1" applyBorder="1" applyAlignment="1">
      <alignment vertical="top" textRotation="90"/>
    </xf>
    <xf numFmtId="0" fontId="4" fillId="4" borderId="5" xfId="0" applyFont="1" applyFill="1" applyBorder="1" applyAlignment="1">
      <alignment horizontal="center" vertical="top" wrapText="1"/>
    </xf>
    <xf numFmtId="0" fontId="0" fillId="4" borderId="12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center"/>
    </xf>
    <xf numFmtId="0" fontId="10" fillId="4" borderId="5" xfId="0" applyFont="1" applyFill="1" applyBorder="1" applyAlignment="1">
      <alignment horizontal="right" vertical="top" wrapText="1"/>
    </xf>
    <xf numFmtId="14" fontId="10" fillId="4" borderId="5" xfId="0" applyNumberFormat="1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0" fillId="4" borderId="5" xfId="0" applyFill="1" applyBorder="1"/>
    <xf numFmtId="0" fontId="5" fillId="4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vertical="top" wrapText="1"/>
    </xf>
    <xf numFmtId="166" fontId="0" fillId="4" borderId="5" xfId="2" applyNumberFormat="1" applyFont="1" applyFill="1" applyBorder="1" applyAlignment="1">
      <alignment textRotation="90"/>
    </xf>
    <xf numFmtId="166" fontId="0" fillId="4" borderId="5" xfId="2" applyFont="1" applyFill="1" applyBorder="1" applyAlignment="1">
      <alignment textRotation="90"/>
    </xf>
    <xf numFmtId="0" fontId="10" fillId="4" borderId="5" xfId="0" applyFont="1" applyFill="1" applyBorder="1" applyAlignment="1">
      <alignment horizontal="justify" vertical="top" wrapText="1"/>
    </xf>
    <xf numFmtId="0" fontId="4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textRotation="90" wrapText="1"/>
    </xf>
    <xf numFmtId="0" fontId="0" fillId="4" borderId="12" xfId="0" applyFill="1" applyBorder="1" applyAlignment="1">
      <alignment textRotation="90" wrapText="1"/>
    </xf>
    <xf numFmtId="166" fontId="0" fillId="4" borderId="5" xfId="2" applyFont="1" applyFill="1" applyBorder="1" applyAlignment="1">
      <alignment vertical="top" textRotation="90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vertical="top" wrapText="1"/>
    </xf>
    <xf numFmtId="39" fontId="0" fillId="0" borderId="5" xfId="2" applyNumberFormat="1" applyFont="1" applyFill="1" applyBorder="1" applyAlignment="1">
      <alignment vertical="top" textRotation="90" wrapText="1"/>
    </xf>
    <xf numFmtId="166" fontId="0" fillId="0" borderId="5" xfId="2" applyFont="1" applyFill="1" applyBorder="1" applyAlignment="1">
      <alignment vertical="top" textRotation="90" wrapText="1"/>
    </xf>
    <xf numFmtId="166" fontId="0" fillId="0" borderId="12" xfId="2" applyFont="1" applyFill="1" applyBorder="1" applyAlignment="1">
      <alignment vertical="top" textRotation="90" wrapText="1"/>
    </xf>
    <xf numFmtId="0" fontId="6" fillId="4" borderId="12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vertical="top" wrapText="1"/>
    </xf>
    <xf numFmtId="14" fontId="0" fillId="4" borderId="5" xfId="0" applyNumberForma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166" fontId="0" fillId="4" borderId="12" xfId="2" applyFont="1" applyFill="1" applyBorder="1" applyAlignment="1">
      <alignment textRotation="90" wrapText="1"/>
    </xf>
    <xf numFmtId="0" fontId="6" fillId="4" borderId="5" xfId="0" applyFont="1" applyFill="1" applyBorder="1"/>
    <xf numFmtId="169" fontId="5" fillId="4" borderId="5" xfId="0" applyNumberFormat="1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vertical="top" wrapText="1"/>
    </xf>
    <xf numFmtId="0" fontId="0" fillId="4" borderId="5" xfId="0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9" fontId="10" fillId="4" borderId="6" xfId="1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13" fillId="4" borderId="5" xfId="0" applyFont="1" applyFill="1" applyBorder="1"/>
    <xf numFmtId="0" fontId="4" fillId="4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center" vertical="center" wrapText="1"/>
    </xf>
    <xf numFmtId="9" fontId="0" fillId="4" borderId="5" xfId="1" applyFont="1" applyFill="1" applyBorder="1" applyAlignment="1">
      <alignment horizontal="right"/>
    </xf>
    <xf numFmtId="9" fontId="10" fillId="4" borderId="7" xfId="1" applyFont="1" applyFill="1" applyBorder="1" applyAlignment="1">
      <alignment vertical="top" wrapText="1"/>
    </xf>
    <xf numFmtId="9" fontId="10" fillId="4" borderId="4" xfId="1" applyFont="1" applyFill="1" applyBorder="1" applyAlignment="1">
      <alignment vertical="top" wrapText="1"/>
    </xf>
    <xf numFmtId="9" fontId="13" fillId="4" borderId="5" xfId="1" applyFont="1" applyFill="1" applyBorder="1"/>
    <xf numFmtId="9" fontId="0" fillId="4" borderId="7" xfId="1" applyFont="1" applyFill="1" applyBorder="1" applyAlignment="1">
      <alignment horizontal="center" vertical="center"/>
    </xf>
    <xf numFmtId="9" fontId="14" fillId="0" borderId="0" xfId="1" applyFont="1"/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2" fillId="5" borderId="14" xfId="0" applyFont="1" applyFill="1" applyBorder="1" applyAlignment="1">
      <alignment horizontal="center" vertical="center" wrapText="1"/>
    </xf>
    <xf numFmtId="10" fontId="4" fillId="4" borderId="6" xfId="0" applyNumberFormat="1" applyFont="1" applyFill="1" applyBorder="1" applyAlignment="1">
      <alignment horizontal="center" vertical="top" wrapText="1"/>
    </xf>
    <xf numFmtId="10" fontId="5" fillId="4" borderId="6" xfId="0" applyNumberFormat="1" applyFont="1" applyFill="1" applyBorder="1" applyAlignment="1">
      <alignment vertical="top" wrapText="1"/>
    </xf>
    <xf numFmtId="10" fontId="4" fillId="4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9" fontId="0" fillId="4" borderId="7" xfId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top" wrapText="1"/>
    </xf>
    <xf numFmtId="0" fontId="2" fillId="5" borderId="15" xfId="0" applyFont="1" applyFill="1" applyBorder="1" applyAlignment="1">
      <alignment horizontal="center" vertical="center" wrapText="1"/>
    </xf>
    <xf numFmtId="9" fontId="4" fillId="0" borderId="7" xfId="1" applyFont="1" applyFill="1" applyBorder="1" applyAlignment="1">
      <alignment horizontal="center" vertical="top" wrapText="1"/>
    </xf>
    <xf numFmtId="9" fontId="4" fillId="0" borderId="4" xfId="1" applyFont="1" applyFill="1" applyBorder="1" applyAlignment="1">
      <alignment horizontal="center" vertical="top" wrapText="1"/>
    </xf>
    <xf numFmtId="9" fontId="4" fillId="0" borderId="5" xfId="1" applyFont="1" applyFill="1" applyBorder="1" applyAlignment="1">
      <alignment horizontal="center" vertical="top" wrapText="1"/>
    </xf>
    <xf numFmtId="9" fontId="4" fillId="0" borderId="6" xfId="1" applyFont="1" applyFill="1" applyBorder="1" applyAlignment="1">
      <alignment horizontal="center" vertical="top" wrapText="1"/>
    </xf>
    <xf numFmtId="9" fontId="5" fillId="4" borderId="6" xfId="1" applyFont="1" applyFill="1" applyBorder="1" applyAlignment="1">
      <alignment horizontal="center" vertical="top" wrapText="1"/>
    </xf>
    <xf numFmtId="9" fontId="0" fillId="4" borderId="7" xfId="1" applyFont="1" applyFill="1" applyBorder="1" applyAlignment="1">
      <alignment horizontal="center" vertical="top" wrapText="1"/>
    </xf>
    <xf numFmtId="9" fontId="0" fillId="4" borderId="11" xfId="1" applyFont="1" applyFill="1" applyBorder="1" applyAlignment="1">
      <alignment horizontal="center" vertical="top" wrapText="1"/>
    </xf>
    <xf numFmtId="9" fontId="6" fillId="4" borderId="12" xfId="1" applyFont="1" applyFill="1" applyBorder="1" applyAlignment="1">
      <alignment horizontal="center" vertical="top" wrapText="1"/>
    </xf>
    <xf numFmtId="9" fontId="0" fillId="4" borderId="12" xfId="1" applyFont="1" applyFill="1" applyBorder="1" applyAlignment="1">
      <alignment horizontal="center" vertical="top" wrapText="1"/>
    </xf>
    <xf numFmtId="9" fontId="6" fillId="4" borderId="6" xfId="1" applyFont="1" applyFill="1" applyBorder="1" applyAlignment="1">
      <alignment horizontal="center" vertical="top" wrapText="1"/>
    </xf>
    <xf numFmtId="9" fontId="0" fillId="4" borderId="5" xfId="1" applyFont="1" applyFill="1" applyBorder="1" applyAlignment="1">
      <alignment horizontal="center" vertical="top" wrapText="1"/>
    </xf>
    <xf numFmtId="9" fontId="0" fillId="4" borderId="6" xfId="1" applyFont="1" applyFill="1" applyBorder="1" applyAlignment="1">
      <alignment horizontal="center" vertical="center" wrapText="1"/>
    </xf>
    <xf numFmtId="9" fontId="0" fillId="4" borderId="7" xfId="1" applyFont="1" applyFill="1" applyBorder="1" applyAlignment="1">
      <alignment horizontal="center" vertical="center" wrapText="1"/>
    </xf>
    <xf numFmtId="9" fontId="5" fillId="4" borderId="7" xfId="1" applyFont="1" applyFill="1" applyBorder="1" applyAlignment="1">
      <alignment vertical="top" wrapText="1"/>
    </xf>
    <xf numFmtId="9" fontId="4" fillId="0" borderId="6" xfId="1" applyFont="1" applyFill="1" applyBorder="1" applyAlignment="1">
      <alignment vertical="top" wrapText="1"/>
    </xf>
    <xf numFmtId="9" fontId="4" fillId="0" borderId="4" xfId="1" applyFont="1" applyFill="1" applyBorder="1" applyAlignment="1">
      <alignment vertical="top" wrapText="1"/>
    </xf>
    <xf numFmtId="9" fontId="5" fillId="4" borderId="6" xfId="1" applyFont="1" applyFill="1" applyBorder="1" applyAlignment="1">
      <alignment vertical="top" wrapText="1"/>
    </xf>
    <xf numFmtId="9" fontId="0" fillId="4" borderId="4" xfId="1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center" vertical="top" wrapText="1"/>
    </xf>
    <xf numFmtId="9" fontId="0" fillId="4" borderId="5" xfId="1" applyFont="1" applyFill="1" applyBorder="1" applyAlignment="1">
      <alignment horizontal="center" vertical="center" wrapText="1"/>
    </xf>
    <xf numFmtId="9" fontId="4" fillId="4" borderId="5" xfId="1" applyFont="1" applyFill="1" applyBorder="1" applyAlignment="1">
      <alignment horizontal="center" vertical="top" wrapText="1"/>
    </xf>
    <xf numFmtId="9" fontId="4" fillId="0" borderId="5" xfId="1" applyFont="1" applyFill="1" applyBorder="1" applyAlignment="1">
      <alignment vertical="top" wrapText="1"/>
    </xf>
    <xf numFmtId="9" fontId="4" fillId="0" borderId="7" xfId="1" applyFont="1" applyFill="1" applyBorder="1" applyAlignment="1">
      <alignment vertical="top" wrapText="1"/>
    </xf>
    <xf numFmtId="9" fontId="0" fillId="4" borderId="7" xfId="1" applyFont="1" applyFill="1" applyBorder="1" applyAlignment="1">
      <alignment horizontal="center" vertical="top" wrapText="1"/>
    </xf>
    <xf numFmtId="9" fontId="5" fillId="0" borderId="5" xfId="0" applyNumberFormat="1" applyFont="1" applyFill="1" applyBorder="1" applyAlignment="1">
      <alignment horizontal="center" vertical="top" wrapText="1"/>
    </xf>
    <xf numFmtId="9" fontId="14" fillId="0" borderId="0" xfId="1" applyFont="1" applyFill="1"/>
    <xf numFmtId="0" fontId="5" fillId="0" borderId="11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10" fontId="14" fillId="0" borderId="0" xfId="0" applyNumberFormat="1" applyFont="1"/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9" fontId="0" fillId="4" borderId="6" xfId="1" applyFont="1" applyFill="1" applyBorder="1" applyAlignment="1">
      <alignment horizontal="center" vertical="center"/>
    </xf>
    <xf numFmtId="9" fontId="0" fillId="4" borderId="4" xfId="1" applyFont="1" applyFill="1" applyBorder="1" applyAlignment="1">
      <alignment horizontal="center" vertical="center"/>
    </xf>
    <xf numFmtId="9" fontId="10" fillId="4" borderId="6" xfId="1" applyFont="1" applyFill="1" applyBorder="1" applyAlignment="1">
      <alignment horizontal="center" vertical="center" wrapText="1"/>
    </xf>
    <xf numFmtId="9" fontId="10" fillId="4" borderId="4" xfId="1" applyFont="1" applyFill="1" applyBorder="1" applyAlignment="1">
      <alignment horizontal="center" vertical="center" wrapText="1"/>
    </xf>
    <xf numFmtId="9" fontId="6" fillId="4" borderId="6" xfId="1" applyFont="1" applyFill="1" applyBorder="1" applyAlignment="1">
      <alignment horizontal="center" vertical="center"/>
    </xf>
    <xf numFmtId="9" fontId="6" fillId="4" borderId="4" xfId="1" applyFont="1" applyFill="1" applyBorder="1" applyAlignment="1">
      <alignment horizontal="center" vertical="center"/>
    </xf>
    <xf numFmtId="9" fontId="0" fillId="4" borderId="7" xfId="1" applyFont="1" applyFill="1" applyBorder="1" applyAlignment="1">
      <alignment horizontal="center" vertical="center"/>
    </xf>
    <xf numFmtId="9" fontId="10" fillId="4" borderId="7" xfId="1" applyFont="1" applyFill="1" applyBorder="1" applyAlignment="1">
      <alignment horizontal="center" vertical="center" wrapText="1"/>
    </xf>
    <xf numFmtId="9" fontId="13" fillId="4" borderId="6" xfId="1" applyFont="1" applyFill="1" applyBorder="1" applyAlignment="1">
      <alignment horizontal="center" vertical="center"/>
    </xf>
    <xf numFmtId="9" fontId="13" fillId="4" borderId="7" xfId="1" applyFont="1" applyFill="1" applyBorder="1" applyAlignment="1">
      <alignment horizontal="center" vertical="center"/>
    </xf>
    <xf numFmtId="9" fontId="13" fillId="4" borderId="4" xfId="1" applyFont="1" applyFill="1" applyBorder="1" applyAlignment="1">
      <alignment horizontal="center" vertical="center"/>
    </xf>
    <xf numFmtId="9" fontId="10" fillId="4" borderId="6" xfId="1" applyFont="1" applyFill="1" applyBorder="1" applyAlignment="1">
      <alignment horizontal="center" vertical="top" wrapText="1"/>
    </xf>
    <xf numFmtId="9" fontId="10" fillId="4" borderId="7" xfId="1" applyFont="1" applyFill="1" applyBorder="1" applyAlignment="1">
      <alignment horizontal="center" vertical="top" wrapText="1"/>
    </xf>
    <xf numFmtId="9" fontId="10" fillId="4" borderId="4" xfId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9" fontId="6" fillId="4" borderId="7" xfId="1" applyFont="1" applyFill="1" applyBorder="1" applyAlignment="1">
      <alignment horizontal="center" vertical="center"/>
    </xf>
    <xf numFmtId="9" fontId="0" fillId="4" borderId="6" xfId="0" applyNumberFormat="1" applyFill="1" applyBorder="1" applyAlignment="1">
      <alignment horizontal="center" vertical="center"/>
    </xf>
    <xf numFmtId="9" fontId="0" fillId="4" borderId="7" xfId="0" applyNumberFormat="1" applyFill="1" applyBorder="1" applyAlignment="1">
      <alignment horizontal="center" vertical="center"/>
    </xf>
    <xf numFmtId="9" fontId="0" fillId="4" borderId="4" xfId="0" applyNumberFormat="1" applyFill="1" applyBorder="1" applyAlignment="1">
      <alignment horizontal="center" vertical="center"/>
    </xf>
    <xf numFmtId="9" fontId="10" fillId="4" borderId="6" xfId="0" applyNumberFormat="1" applyFont="1" applyFill="1" applyBorder="1" applyAlignment="1">
      <alignment horizontal="center" vertical="center" wrapText="1"/>
    </xf>
    <xf numFmtId="9" fontId="10" fillId="4" borderId="7" xfId="0" applyNumberFormat="1" applyFont="1" applyFill="1" applyBorder="1" applyAlignment="1">
      <alignment horizontal="center" vertical="center" wrapText="1"/>
    </xf>
    <xf numFmtId="9" fontId="10" fillId="4" borderId="4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vertical="top" wrapText="1"/>
    </xf>
    <xf numFmtId="0" fontId="10" fillId="4" borderId="7" xfId="0" applyFont="1" applyFill="1" applyBorder="1" applyAlignment="1">
      <alignment vertical="top" wrapText="1"/>
    </xf>
    <xf numFmtId="0" fontId="10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10" fillId="4" borderId="7" xfId="0" applyFont="1" applyFill="1" applyBorder="1" applyAlignment="1">
      <alignment horizontal="center" vertical="top" wrapText="1"/>
    </xf>
    <xf numFmtId="14" fontId="0" fillId="4" borderId="6" xfId="0" applyNumberFormat="1" applyFill="1" applyBorder="1" applyAlignment="1">
      <alignment vertical="top" wrapText="1"/>
    </xf>
    <xf numFmtId="14" fontId="0" fillId="4" borderId="7" xfId="0" applyNumberFormat="1" applyFill="1" applyBorder="1" applyAlignment="1">
      <alignment vertical="top" wrapText="1"/>
    </xf>
    <xf numFmtId="14" fontId="0" fillId="4" borderId="4" xfId="0" applyNumberFormat="1" applyFill="1" applyBorder="1" applyAlignment="1">
      <alignment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9" fontId="13" fillId="4" borderId="6" xfId="0" applyNumberFormat="1" applyFont="1" applyFill="1" applyBorder="1" applyAlignment="1">
      <alignment horizontal="center" vertical="center"/>
    </xf>
    <xf numFmtId="9" fontId="13" fillId="4" borderId="7" xfId="0" applyNumberFormat="1" applyFont="1" applyFill="1" applyBorder="1" applyAlignment="1">
      <alignment horizontal="center" vertical="center"/>
    </xf>
    <xf numFmtId="9" fontId="13" fillId="4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textRotation="90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14" fontId="0" fillId="4" borderId="6" xfId="0" applyNumberFormat="1" applyFill="1" applyBorder="1" applyAlignment="1">
      <alignment vertical="top"/>
    </xf>
    <xf numFmtId="14" fontId="0" fillId="4" borderId="7" xfId="0" applyNumberFormat="1" applyFill="1" applyBorder="1" applyAlignment="1">
      <alignment vertical="top"/>
    </xf>
    <xf numFmtId="14" fontId="0" fillId="4" borderId="4" xfId="0" applyNumberFormat="1" applyFill="1" applyBorder="1" applyAlignment="1">
      <alignment vertical="top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textRotation="90" wrapText="1"/>
    </xf>
    <xf numFmtId="0" fontId="0" fillId="0" borderId="12" xfId="0" applyBorder="1" applyAlignment="1">
      <alignment vertical="top" textRotation="90" wrapText="1"/>
    </xf>
    <xf numFmtId="0" fontId="0" fillId="0" borderId="5" xfId="0" applyBorder="1" applyAlignment="1">
      <alignment vertical="top" textRotation="90" wrapText="1"/>
    </xf>
    <xf numFmtId="166" fontId="0" fillId="0" borderId="6" xfId="2" applyFont="1" applyBorder="1" applyAlignment="1">
      <alignment textRotation="90"/>
    </xf>
    <xf numFmtId="166" fontId="0" fillId="0" borderId="4" xfId="2" applyFont="1" applyBorder="1" applyAlignment="1">
      <alignment textRotation="90"/>
    </xf>
    <xf numFmtId="166" fontId="0" fillId="0" borderId="9" xfId="2" applyFont="1" applyBorder="1" applyAlignment="1">
      <alignment textRotation="90" wrapText="1"/>
    </xf>
    <xf numFmtId="166" fontId="0" fillId="0" borderId="10" xfId="2" applyFont="1" applyBorder="1" applyAlignment="1">
      <alignment textRotation="90"/>
    </xf>
    <xf numFmtId="0" fontId="5" fillId="4" borderId="6" xfId="0" applyFont="1" applyFill="1" applyBorder="1" applyAlignment="1">
      <alignment vertical="top" textRotation="90" wrapText="1"/>
    </xf>
    <xf numFmtId="0" fontId="5" fillId="4" borderId="7" xfId="0" applyFont="1" applyFill="1" applyBorder="1" applyAlignment="1">
      <alignment vertical="top" textRotation="90" wrapText="1"/>
    </xf>
    <xf numFmtId="0" fontId="5" fillId="4" borderId="9" xfId="0" applyFont="1" applyFill="1" applyBorder="1" applyAlignment="1">
      <alignment vertical="top" textRotation="90" wrapText="1"/>
    </xf>
    <xf numFmtId="0" fontId="5" fillId="4" borderId="11" xfId="0" applyFont="1" applyFill="1" applyBorder="1" applyAlignment="1">
      <alignment vertical="top" textRotation="90" wrapText="1"/>
    </xf>
    <xf numFmtId="166" fontId="5" fillId="4" borderId="6" xfId="2" applyFont="1" applyFill="1" applyBorder="1" applyAlignment="1">
      <alignment vertical="top" textRotation="90" wrapText="1"/>
    </xf>
    <xf numFmtId="166" fontId="5" fillId="4" borderId="7" xfId="2" applyFont="1" applyFill="1" applyBorder="1" applyAlignment="1">
      <alignment vertical="top" textRotation="90" wrapText="1"/>
    </xf>
    <xf numFmtId="39" fontId="0" fillId="4" borderId="6" xfId="2" applyNumberFormat="1" applyFont="1" applyFill="1" applyBorder="1" applyAlignment="1">
      <alignment vertical="top" textRotation="90" wrapText="1"/>
    </xf>
    <xf numFmtId="39" fontId="0" fillId="4" borderId="7" xfId="2" applyNumberFormat="1" applyFont="1" applyFill="1" applyBorder="1" applyAlignment="1">
      <alignment vertical="top" textRotation="90" wrapText="1"/>
    </xf>
    <xf numFmtId="39" fontId="0" fillId="4" borderId="4" xfId="2" applyNumberFormat="1" applyFont="1" applyFill="1" applyBorder="1" applyAlignment="1">
      <alignment vertical="top" textRotation="90" wrapText="1"/>
    </xf>
    <xf numFmtId="39" fontId="0" fillId="0" borderId="6" xfId="2" applyNumberFormat="1" applyFont="1" applyBorder="1" applyAlignment="1">
      <alignment vertical="top" textRotation="90" wrapText="1"/>
    </xf>
    <xf numFmtId="39" fontId="0" fillId="0" borderId="4" xfId="2" applyNumberFormat="1" applyFont="1" applyBorder="1" applyAlignment="1">
      <alignment vertical="top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4" xfId="0" applyFill="1" applyBorder="1"/>
    <xf numFmtId="0" fontId="0" fillId="4" borderId="9" xfId="0" applyFill="1" applyBorder="1" applyAlignment="1">
      <alignment vertical="top" textRotation="90" wrapText="1"/>
    </xf>
    <xf numFmtId="0" fontId="0" fillId="4" borderId="11" xfId="0" applyFill="1" applyBorder="1" applyAlignment="1">
      <alignment vertical="top" textRotation="90" wrapText="1"/>
    </xf>
    <xf numFmtId="0" fontId="0" fillId="4" borderId="10" xfId="0" applyFill="1" applyBorder="1" applyAlignment="1">
      <alignment vertical="top" textRotation="90" wrapText="1"/>
    </xf>
    <xf numFmtId="37" fontId="0" fillId="4" borderId="6" xfId="2" applyNumberFormat="1" applyFont="1" applyFill="1" applyBorder="1" applyAlignment="1">
      <alignment horizontal="center" vertical="top" textRotation="90" wrapText="1"/>
    </xf>
    <xf numFmtId="37" fontId="0" fillId="4" borderId="7" xfId="2" applyNumberFormat="1" applyFont="1" applyFill="1" applyBorder="1" applyAlignment="1">
      <alignment horizontal="center" vertical="top" textRotation="90" wrapText="1"/>
    </xf>
    <xf numFmtId="37" fontId="0" fillId="4" borderId="4" xfId="2" applyNumberFormat="1" applyFont="1" applyFill="1" applyBorder="1" applyAlignment="1">
      <alignment horizontal="center" vertical="top" textRotation="90" wrapText="1"/>
    </xf>
    <xf numFmtId="39" fontId="0" fillId="4" borderId="5" xfId="2" applyNumberFormat="1" applyFont="1" applyFill="1" applyBorder="1" applyAlignment="1">
      <alignment vertical="top" textRotation="90" wrapText="1"/>
    </xf>
    <xf numFmtId="0" fontId="0" fillId="4" borderId="6" xfId="0" applyFill="1" applyBorder="1" applyAlignment="1">
      <alignment vertical="top" textRotation="90" wrapText="1"/>
    </xf>
    <xf numFmtId="0" fontId="0" fillId="4" borderId="7" xfId="0" applyFill="1" applyBorder="1" applyAlignment="1">
      <alignment vertical="top" textRotation="90" wrapText="1"/>
    </xf>
    <xf numFmtId="0" fontId="0" fillId="4" borderId="4" xfId="0" applyFill="1" applyBorder="1" applyAlignment="1">
      <alignment vertical="top" textRotation="90" wrapText="1"/>
    </xf>
    <xf numFmtId="0" fontId="0" fillId="0" borderId="11" xfId="2" applyNumberFormat="1" applyFont="1" applyBorder="1" applyAlignment="1">
      <alignment horizontal="center" vertical="top" textRotation="90" wrapText="1"/>
    </xf>
    <xf numFmtId="0" fontId="0" fillId="0" borderId="10" xfId="2" applyNumberFormat="1" applyFont="1" applyBorder="1" applyAlignment="1">
      <alignment horizontal="center" vertical="top" textRotation="90" wrapText="1"/>
    </xf>
    <xf numFmtId="0" fontId="0" fillId="0" borderId="6" xfId="2" applyNumberFormat="1" applyFont="1" applyBorder="1" applyAlignment="1">
      <alignment horizontal="center" vertical="top" textRotation="90" wrapText="1"/>
    </xf>
    <xf numFmtId="0" fontId="0" fillId="0" borderId="7" xfId="2" applyNumberFormat="1" applyFont="1" applyBorder="1" applyAlignment="1">
      <alignment horizontal="center" vertical="top" textRotation="90" wrapText="1"/>
    </xf>
    <xf numFmtId="0" fontId="0" fillId="0" borderId="4" xfId="2" applyNumberFormat="1" applyFont="1" applyBorder="1" applyAlignment="1">
      <alignment horizontal="center" vertical="top" textRotation="90" wrapText="1"/>
    </xf>
    <xf numFmtId="0" fontId="0" fillId="0" borderId="9" xfId="2" applyNumberFormat="1" applyFont="1" applyBorder="1" applyAlignment="1">
      <alignment horizontal="center" vertical="top" textRotation="90" wrapText="1"/>
    </xf>
    <xf numFmtId="165" fontId="0" fillId="4" borderId="6" xfId="2" applyNumberFormat="1" applyFont="1" applyFill="1" applyBorder="1" applyAlignment="1">
      <alignment horizontal="center" vertical="top" textRotation="90" wrapText="1"/>
    </xf>
    <xf numFmtId="165" fontId="0" fillId="4" borderId="7" xfId="2" applyNumberFormat="1" applyFont="1" applyFill="1" applyBorder="1" applyAlignment="1">
      <alignment horizontal="center" vertical="top" textRotation="90" wrapText="1"/>
    </xf>
    <xf numFmtId="165" fontId="0" fillId="4" borderId="4" xfId="2" applyNumberFormat="1" applyFont="1" applyFill="1" applyBorder="1" applyAlignment="1">
      <alignment horizontal="center" vertical="top" textRotation="90" wrapText="1"/>
    </xf>
    <xf numFmtId="168" fontId="0" fillId="4" borderId="6" xfId="2" applyNumberFormat="1" applyFont="1" applyFill="1" applyBorder="1" applyAlignment="1">
      <alignment vertical="justify" textRotation="90" wrapText="1"/>
    </xf>
    <xf numFmtId="168" fontId="0" fillId="4" borderId="4" xfId="2" applyNumberFormat="1" applyFont="1" applyFill="1" applyBorder="1" applyAlignment="1">
      <alignment vertical="justify" textRotation="90" wrapText="1"/>
    </xf>
    <xf numFmtId="166" fontId="0" fillId="4" borderId="9" xfId="2" applyFont="1" applyFill="1" applyBorder="1" applyAlignment="1">
      <alignment horizontal="center" vertical="top" textRotation="90" wrapText="1"/>
    </xf>
    <xf numFmtId="166" fontId="0" fillId="4" borderId="11" xfId="2" applyFont="1" applyFill="1" applyBorder="1" applyAlignment="1">
      <alignment horizontal="center" vertical="top" textRotation="90"/>
    </xf>
    <xf numFmtId="166" fontId="0" fillId="4" borderId="10" xfId="2" applyFont="1" applyFill="1" applyBorder="1" applyAlignment="1">
      <alignment horizontal="center" vertical="top" textRotation="90"/>
    </xf>
    <xf numFmtId="0" fontId="4" fillId="0" borderId="6" xfId="0" applyFont="1" applyFill="1" applyBorder="1" applyAlignment="1">
      <alignment horizontal="center" vertical="top" textRotation="90" wrapText="1"/>
    </xf>
    <xf numFmtId="0" fontId="4" fillId="0" borderId="7" xfId="0" applyFont="1" applyFill="1" applyBorder="1" applyAlignment="1">
      <alignment horizontal="center" vertical="top" textRotation="90" wrapText="1"/>
    </xf>
    <xf numFmtId="0" fontId="4" fillId="0" borderId="4" xfId="0" applyFont="1" applyFill="1" applyBorder="1" applyAlignment="1">
      <alignment horizontal="center" vertical="top" textRotation="90" wrapText="1"/>
    </xf>
    <xf numFmtId="166" fontId="0" fillId="4" borderId="6" xfId="2" applyFont="1" applyFill="1" applyBorder="1" applyAlignment="1">
      <alignment horizontal="center" vertical="top" textRotation="90"/>
    </xf>
    <xf numFmtId="166" fontId="0" fillId="4" borderId="7" xfId="2" applyFont="1" applyFill="1" applyBorder="1" applyAlignment="1">
      <alignment horizontal="center" vertical="top" textRotation="90"/>
    </xf>
    <xf numFmtId="166" fontId="0" fillId="4" borderId="4" xfId="2" applyFont="1" applyFill="1" applyBorder="1" applyAlignment="1">
      <alignment horizontal="center" vertical="top" textRotation="90"/>
    </xf>
    <xf numFmtId="0" fontId="0" fillId="0" borderId="5" xfId="0" applyBorder="1" applyAlignment="1">
      <alignment vertical="top" wrapText="1"/>
    </xf>
    <xf numFmtId="0" fontId="0" fillId="4" borderId="5" xfId="0" applyFill="1" applyBorder="1" applyAlignment="1">
      <alignment vertical="top" textRotation="90" wrapText="1"/>
    </xf>
    <xf numFmtId="0" fontId="0" fillId="4" borderId="12" xfId="0" applyFill="1" applyBorder="1" applyAlignment="1">
      <alignment vertical="top" textRotation="90" wrapText="1"/>
    </xf>
    <xf numFmtId="0" fontId="0" fillId="0" borderId="5" xfId="2" applyNumberFormat="1" applyFont="1" applyBorder="1" applyAlignment="1">
      <alignment horizontal="center" vertical="top" textRotation="90" wrapText="1"/>
    </xf>
    <xf numFmtId="167" fontId="0" fillId="0" borderId="5" xfId="2" applyNumberFormat="1" applyFont="1" applyBorder="1" applyAlignment="1">
      <alignment horizontal="center" vertical="top" textRotation="90" wrapText="1"/>
    </xf>
    <xf numFmtId="0" fontId="0" fillId="4" borderId="6" xfId="0" applyFill="1" applyBorder="1" applyAlignment="1">
      <alignment textRotation="90" wrapText="1"/>
    </xf>
    <xf numFmtId="0" fontId="0" fillId="4" borderId="4" xfId="0" applyFill="1" applyBorder="1" applyAlignment="1">
      <alignment textRotation="90" wrapText="1"/>
    </xf>
    <xf numFmtId="37" fontId="0" fillId="0" borderId="6" xfId="2" applyNumberFormat="1" applyFont="1" applyBorder="1" applyAlignment="1">
      <alignment horizontal="center" vertical="top" textRotation="90" wrapText="1"/>
    </xf>
    <xf numFmtId="37" fontId="0" fillId="0" borderId="4" xfId="2" applyNumberFormat="1" applyFont="1" applyBorder="1" applyAlignment="1">
      <alignment horizontal="center" vertical="top" textRotation="90" wrapText="1"/>
    </xf>
    <xf numFmtId="9" fontId="4" fillId="0" borderId="23" xfId="1" applyFont="1" applyFill="1" applyBorder="1" applyAlignment="1">
      <alignment horizontal="center" vertical="top" wrapText="1"/>
    </xf>
    <xf numFmtId="9" fontId="4" fillId="0" borderId="7" xfId="1" applyFont="1" applyFill="1" applyBorder="1" applyAlignment="1">
      <alignment horizontal="center" vertical="top" wrapText="1"/>
    </xf>
    <xf numFmtId="9" fontId="4" fillId="0" borderId="4" xfId="1" applyFont="1" applyFill="1" applyBorder="1" applyAlignment="1">
      <alignment horizontal="center" vertical="top" wrapText="1"/>
    </xf>
    <xf numFmtId="9" fontId="4" fillId="0" borderId="6" xfId="1" applyFont="1" applyFill="1" applyBorder="1" applyAlignment="1">
      <alignment horizontal="center" vertical="top" wrapText="1"/>
    </xf>
    <xf numFmtId="9" fontId="5" fillId="4" borderId="6" xfId="1" applyFont="1" applyFill="1" applyBorder="1" applyAlignment="1">
      <alignment horizontal="center" vertical="top" wrapText="1"/>
    </xf>
    <xf numFmtId="9" fontId="5" fillId="4" borderId="7" xfId="1" applyFont="1" applyFill="1" applyBorder="1" applyAlignment="1">
      <alignment horizontal="center" vertical="top" wrapText="1"/>
    </xf>
    <xf numFmtId="9" fontId="6" fillId="4" borderId="6" xfId="1" applyFont="1" applyFill="1" applyBorder="1" applyAlignment="1">
      <alignment horizontal="center" vertical="top" wrapText="1"/>
    </xf>
    <xf numFmtId="9" fontId="6" fillId="4" borderId="4" xfId="1" applyFont="1" applyFill="1" applyBorder="1" applyAlignment="1">
      <alignment horizontal="center" vertical="top" wrapText="1"/>
    </xf>
    <xf numFmtId="9" fontId="6" fillId="4" borderId="7" xfId="1" applyFont="1" applyFill="1" applyBorder="1" applyAlignment="1">
      <alignment horizontal="center" vertical="top" wrapText="1"/>
    </xf>
    <xf numFmtId="9" fontId="0" fillId="4" borderId="6" xfId="1" applyFont="1" applyFill="1" applyBorder="1" applyAlignment="1">
      <alignment horizontal="center" vertical="top" wrapText="1"/>
    </xf>
    <xf numFmtId="9" fontId="0" fillId="4" borderId="7" xfId="1" applyFont="1" applyFill="1" applyBorder="1" applyAlignment="1">
      <alignment horizontal="center" vertical="top" wrapText="1"/>
    </xf>
    <xf numFmtId="9" fontId="0" fillId="4" borderId="4" xfId="1" applyFont="1" applyFill="1" applyBorder="1" applyAlignment="1">
      <alignment horizontal="center" vertical="top" wrapText="1"/>
    </xf>
    <xf numFmtId="9" fontId="0" fillId="4" borderId="6" xfId="1" applyFont="1" applyFill="1" applyBorder="1" applyAlignment="1">
      <alignment horizontal="center" vertical="center" wrapText="1"/>
    </xf>
    <xf numFmtId="9" fontId="0" fillId="4" borderId="7" xfId="1" applyFont="1" applyFill="1" applyBorder="1" applyAlignment="1">
      <alignment horizontal="center" vertical="center" wrapText="1"/>
    </xf>
    <xf numFmtId="9" fontId="0" fillId="4" borderId="4" xfId="1" applyFont="1" applyFill="1" applyBorder="1" applyAlignment="1">
      <alignment horizontal="center" vertical="center" wrapText="1"/>
    </xf>
    <xf numFmtId="9" fontId="5" fillId="4" borderId="4" xfId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164" fontId="0" fillId="4" borderId="9" xfId="2" applyNumberFormat="1" applyFont="1" applyFill="1" applyBorder="1" applyAlignment="1">
      <alignment horizontal="center" vertical="top" textRotation="90" wrapText="1"/>
    </xf>
    <xf numFmtId="164" fontId="0" fillId="4" borderId="11" xfId="2" applyNumberFormat="1" applyFont="1" applyFill="1" applyBorder="1" applyAlignment="1">
      <alignment horizontal="center" vertical="top" textRotation="90" wrapText="1"/>
    </xf>
    <xf numFmtId="164" fontId="0" fillId="4" borderId="10" xfId="2" applyNumberFormat="1" applyFont="1" applyFill="1" applyBorder="1" applyAlignment="1">
      <alignment horizontal="center" vertical="top" textRotation="90" wrapText="1"/>
    </xf>
    <xf numFmtId="0" fontId="0" fillId="4" borderId="9" xfId="0" applyFill="1" applyBorder="1" applyAlignment="1">
      <alignment vertical="top" textRotation="90"/>
    </xf>
    <xf numFmtId="0" fontId="0" fillId="4" borderId="10" xfId="0" applyFill="1" applyBorder="1" applyAlignment="1">
      <alignment vertical="top" textRotation="90"/>
    </xf>
    <xf numFmtId="9" fontId="5" fillId="4" borderId="6" xfId="0" applyNumberFormat="1" applyFont="1" applyFill="1" applyBorder="1" applyAlignment="1">
      <alignment horizontal="center" vertical="top" wrapText="1"/>
    </xf>
    <xf numFmtId="9" fontId="5" fillId="4" borderId="7" xfId="0" applyNumberFormat="1" applyFont="1" applyFill="1" applyBorder="1" applyAlignment="1">
      <alignment horizontal="center" vertical="top" wrapText="1"/>
    </xf>
    <xf numFmtId="9" fontId="5" fillId="4" borderId="4" xfId="0" applyNumberFormat="1" applyFont="1" applyFill="1" applyBorder="1" applyAlignment="1">
      <alignment horizontal="center" vertical="top" wrapText="1"/>
    </xf>
    <xf numFmtId="9" fontId="0" fillId="4" borderId="6" xfId="0" applyNumberFormat="1" applyFill="1" applyBorder="1" applyAlignment="1">
      <alignment horizontal="center" vertical="center" wrapText="1"/>
    </xf>
    <xf numFmtId="9" fontId="0" fillId="4" borderId="7" xfId="0" applyNumberFormat="1" applyFill="1" applyBorder="1" applyAlignment="1">
      <alignment horizontal="center" vertical="center" wrapText="1"/>
    </xf>
    <xf numFmtId="9" fontId="0" fillId="4" borderId="4" xfId="0" applyNumberForma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top" wrapText="1"/>
    </xf>
    <xf numFmtId="9" fontId="4" fillId="0" borderId="4" xfId="0" applyNumberFormat="1" applyFont="1" applyFill="1" applyBorder="1" applyAlignment="1">
      <alignment horizontal="center" vertical="top" wrapText="1"/>
    </xf>
    <xf numFmtId="9" fontId="0" fillId="4" borderId="6" xfId="0" applyNumberFormat="1" applyFill="1" applyBorder="1" applyAlignment="1">
      <alignment horizontal="center" vertical="top" wrapText="1"/>
    </xf>
    <xf numFmtId="9" fontId="0" fillId="4" borderId="7" xfId="0" applyNumberFormat="1" applyFill="1" applyBorder="1" applyAlignment="1">
      <alignment horizontal="center" vertical="top" wrapText="1"/>
    </xf>
    <xf numFmtId="9" fontId="0" fillId="4" borderId="4" xfId="0" applyNumberFormat="1" applyFill="1" applyBorder="1" applyAlignment="1">
      <alignment horizontal="center" vertical="top" wrapText="1"/>
    </xf>
    <xf numFmtId="9" fontId="4" fillId="0" borderId="7" xfId="0" applyNumberFormat="1" applyFont="1" applyFill="1" applyBorder="1" applyAlignment="1">
      <alignment horizontal="center" vertical="top" wrapText="1"/>
    </xf>
    <xf numFmtId="164" fontId="0" fillId="4" borderId="6" xfId="2" applyNumberFormat="1" applyFont="1" applyFill="1" applyBorder="1" applyAlignment="1">
      <alignment horizontal="center" vertical="top" textRotation="90" wrapText="1"/>
    </xf>
    <xf numFmtId="164" fontId="0" fillId="4" borderId="7" xfId="2" applyNumberFormat="1" applyFont="1" applyFill="1" applyBorder="1" applyAlignment="1">
      <alignment horizontal="center" vertical="top" textRotation="90" wrapText="1"/>
    </xf>
    <xf numFmtId="164" fontId="0" fillId="4" borderId="4" xfId="2" applyNumberFormat="1" applyFont="1" applyFill="1" applyBorder="1" applyAlignment="1">
      <alignment horizontal="center" vertical="top" textRotation="90" wrapText="1"/>
    </xf>
    <xf numFmtId="14" fontId="0" fillId="4" borderId="6" xfId="0" applyNumberFormat="1" applyFill="1" applyBorder="1"/>
    <xf numFmtId="14" fontId="0" fillId="4" borderId="4" xfId="0" applyNumberFormat="1" applyFill="1" applyBorder="1"/>
    <xf numFmtId="4" fontId="0" fillId="0" borderId="5" xfId="0" applyNumberFormat="1" applyBorder="1" applyAlignment="1">
      <alignment vertical="top" wrapText="1"/>
    </xf>
    <xf numFmtId="4" fontId="0" fillId="0" borderId="0" xfId="0" applyNumberFormat="1"/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1"/>
  <sheetViews>
    <sheetView tabSelected="1" topLeftCell="AH1" zoomScale="78" zoomScaleNormal="78" workbookViewId="0">
      <pane ySplit="1" topLeftCell="A59" activePane="bottomLeft" state="frozen"/>
      <selection pane="bottomLeft" activeCell="AP60" sqref="AP60"/>
    </sheetView>
  </sheetViews>
  <sheetFormatPr baseColWidth="10" defaultRowHeight="14.5" x14ac:dyDescent="0.35"/>
  <cols>
    <col min="4" max="4" width="14.7265625" customWidth="1"/>
    <col min="5" max="5" width="17.54296875" customWidth="1"/>
    <col min="6" max="6" width="16.453125" customWidth="1"/>
    <col min="7" max="7" width="23.26953125" bestFit="1" customWidth="1"/>
    <col min="8" max="9" width="23.26953125" customWidth="1"/>
    <col min="10" max="10" width="17.7265625" customWidth="1"/>
    <col min="11" max="11" width="20.26953125" bestFit="1" customWidth="1"/>
    <col min="12" max="12" width="22.81640625" customWidth="1"/>
    <col min="14" max="15" width="11.453125" style="12"/>
    <col min="16" max="21" width="16.1796875" style="12" customWidth="1"/>
    <col min="22" max="22" width="29" customWidth="1"/>
    <col min="23" max="23" width="20.81640625" customWidth="1"/>
    <col min="24" max="24" width="24.1796875" style="2" customWidth="1"/>
    <col min="25" max="25" width="15.453125" customWidth="1"/>
    <col min="26" max="26" width="12.7265625" customWidth="1"/>
    <col min="29" max="33" width="18" customWidth="1"/>
    <col min="34" max="34" width="21.54296875" bestFit="1" customWidth="1"/>
    <col min="35" max="35" width="12.1796875" bestFit="1" customWidth="1"/>
    <col min="36" max="36" width="13.54296875" customWidth="1"/>
    <col min="37" max="45" width="17.453125" customWidth="1"/>
    <col min="46" max="46" width="16.7265625" customWidth="1"/>
    <col min="47" max="47" width="17.54296875" customWidth="1"/>
    <col min="49" max="50" width="14.54296875" customWidth="1"/>
    <col min="51" max="51" width="20.1796875" customWidth="1"/>
    <col min="52" max="52" width="23.7265625" customWidth="1"/>
  </cols>
  <sheetData>
    <row r="1" spans="1:52" s="1" customFormat="1" ht="77.25" customHeight="1" thickBot="1" x14ac:dyDescent="0.4">
      <c r="A1" s="3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4" t="s">
        <v>12</v>
      </c>
      <c r="G1" s="5" t="s">
        <v>13</v>
      </c>
      <c r="H1" s="5" t="s">
        <v>401</v>
      </c>
      <c r="I1" s="53" t="s">
        <v>441</v>
      </c>
      <c r="J1" s="4" t="s">
        <v>5</v>
      </c>
      <c r="K1" s="29" t="s">
        <v>16</v>
      </c>
      <c r="L1" s="30" t="s">
        <v>14</v>
      </c>
      <c r="M1" s="30" t="s">
        <v>15</v>
      </c>
      <c r="N1" s="52" t="s">
        <v>365</v>
      </c>
      <c r="O1" s="52" t="s">
        <v>517</v>
      </c>
      <c r="P1" s="52" t="s">
        <v>402</v>
      </c>
      <c r="Q1" s="53" t="s">
        <v>442</v>
      </c>
      <c r="R1" s="161" t="s">
        <v>513</v>
      </c>
      <c r="S1" s="161" t="s">
        <v>514</v>
      </c>
      <c r="T1" s="161" t="s">
        <v>515</v>
      </c>
      <c r="U1" s="161" t="s">
        <v>516</v>
      </c>
      <c r="V1" s="31" t="s">
        <v>6</v>
      </c>
      <c r="W1" s="32" t="s">
        <v>17</v>
      </c>
      <c r="X1" s="44" t="s">
        <v>344</v>
      </c>
      <c r="Y1" s="3" t="s">
        <v>345</v>
      </c>
      <c r="Z1" s="4" t="s">
        <v>8</v>
      </c>
      <c r="AA1" s="4" t="s">
        <v>7</v>
      </c>
      <c r="AB1" s="100" t="s">
        <v>364</v>
      </c>
      <c r="AC1" s="101" t="s">
        <v>404</v>
      </c>
      <c r="AD1" s="54" t="s">
        <v>443</v>
      </c>
      <c r="AE1" s="133" t="s">
        <v>470</v>
      </c>
      <c r="AF1" s="133" t="s">
        <v>471</v>
      </c>
      <c r="AG1" s="133" t="s">
        <v>472</v>
      </c>
      <c r="AH1" s="45" t="s">
        <v>20</v>
      </c>
      <c r="AI1" s="46" t="s">
        <v>18</v>
      </c>
      <c r="AJ1" s="47" t="s">
        <v>19</v>
      </c>
      <c r="AK1" s="33" t="s">
        <v>9</v>
      </c>
      <c r="AL1" s="144" t="s">
        <v>473</v>
      </c>
      <c r="AM1" s="144" t="s">
        <v>10</v>
      </c>
      <c r="AN1" s="144" t="s">
        <v>11</v>
      </c>
      <c r="AO1" s="144" t="s">
        <v>474</v>
      </c>
      <c r="AP1" s="144" t="s">
        <v>475</v>
      </c>
      <c r="AQ1" s="144" t="s">
        <v>476</v>
      </c>
      <c r="AR1" s="144" t="s">
        <v>477</v>
      </c>
      <c r="AS1" s="144" t="s">
        <v>478</v>
      </c>
      <c r="AT1" s="33" t="s">
        <v>356</v>
      </c>
      <c r="AU1" s="5" t="s">
        <v>10</v>
      </c>
      <c r="AV1" s="3" t="s">
        <v>11</v>
      </c>
      <c r="AW1" s="3" t="s">
        <v>420</v>
      </c>
      <c r="AX1" s="3" t="s">
        <v>463</v>
      </c>
      <c r="AY1" s="3" t="s">
        <v>444</v>
      </c>
      <c r="AZ1" s="53" t="s">
        <v>445</v>
      </c>
    </row>
    <row r="2" spans="1:52" ht="100.5" customHeight="1" x14ac:dyDescent="0.35">
      <c r="A2" s="196" t="s">
        <v>21</v>
      </c>
      <c r="B2" s="196" t="s">
        <v>22</v>
      </c>
      <c r="C2" s="196" t="s">
        <v>23</v>
      </c>
      <c r="D2" s="196" t="s">
        <v>24</v>
      </c>
      <c r="E2" s="196" t="s">
        <v>25</v>
      </c>
      <c r="F2" s="226" t="s">
        <v>150</v>
      </c>
      <c r="G2" s="226" t="s">
        <v>151</v>
      </c>
      <c r="H2" s="226" t="s">
        <v>398</v>
      </c>
      <c r="I2" s="226"/>
      <c r="J2" s="195" t="s">
        <v>79</v>
      </c>
      <c r="K2" s="27" t="s">
        <v>212</v>
      </c>
      <c r="L2" s="34" t="s">
        <v>92</v>
      </c>
      <c r="M2" s="24" t="s">
        <v>268</v>
      </c>
      <c r="N2" s="25">
        <v>2</v>
      </c>
      <c r="O2" s="16" t="s">
        <v>518</v>
      </c>
      <c r="P2" s="195" t="s">
        <v>399</v>
      </c>
      <c r="Q2" s="195"/>
      <c r="R2" s="124"/>
      <c r="S2" s="162">
        <f>(N2)/(4)</f>
        <v>0.5</v>
      </c>
      <c r="T2" s="351">
        <f>SUM(S2:S7)/(6)</f>
        <v>0.6018803418803419</v>
      </c>
      <c r="U2" s="351">
        <f>SUM(T2:T14)/(3)</f>
        <v>0.50334900284900286</v>
      </c>
      <c r="V2" s="196" t="s">
        <v>357</v>
      </c>
      <c r="W2" s="196" t="s">
        <v>290</v>
      </c>
      <c r="X2" s="197" t="s">
        <v>367</v>
      </c>
      <c r="Y2" s="196"/>
      <c r="Z2" s="196"/>
      <c r="AA2" s="196"/>
      <c r="AB2" s="196"/>
      <c r="AC2" s="196"/>
      <c r="AD2" s="196"/>
      <c r="AE2" s="196"/>
      <c r="AF2" s="196"/>
      <c r="AG2" s="196"/>
      <c r="AH2" s="197"/>
      <c r="AI2" s="197"/>
      <c r="AJ2" s="197"/>
      <c r="AK2" s="367" t="s">
        <v>355</v>
      </c>
      <c r="AL2" s="140"/>
      <c r="AM2" s="140"/>
      <c r="AN2" s="140"/>
      <c r="AO2" s="140"/>
      <c r="AP2" s="140"/>
      <c r="AQ2" s="140"/>
      <c r="AR2" s="140"/>
      <c r="AS2" s="140"/>
      <c r="AT2" s="325">
        <v>0</v>
      </c>
      <c r="AU2" s="325">
        <v>0</v>
      </c>
      <c r="AV2" s="322">
        <v>0</v>
      </c>
      <c r="AW2" s="322">
        <v>0</v>
      </c>
      <c r="AX2" s="322">
        <v>0</v>
      </c>
      <c r="AY2" s="345"/>
      <c r="AZ2" s="345"/>
    </row>
    <row r="3" spans="1:52" ht="93.75" customHeight="1" x14ac:dyDescent="0.35">
      <c r="A3" s="197"/>
      <c r="B3" s="197"/>
      <c r="C3" s="197"/>
      <c r="D3" s="197"/>
      <c r="E3" s="197"/>
      <c r="F3" s="274"/>
      <c r="G3" s="274"/>
      <c r="H3" s="274"/>
      <c r="I3" s="274"/>
      <c r="J3" s="195"/>
      <c r="K3" s="28" t="s">
        <v>213</v>
      </c>
      <c r="L3" s="35" t="s">
        <v>93</v>
      </c>
      <c r="M3" s="8">
        <v>1</v>
      </c>
      <c r="N3" s="19">
        <f>1+1</f>
        <v>2</v>
      </c>
      <c r="O3" s="188"/>
      <c r="P3" s="195"/>
      <c r="Q3" s="195"/>
      <c r="R3" s="124"/>
      <c r="S3" s="162">
        <f>N3/3</f>
        <v>0.66666666666666663</v>
      </c>
      <c r="T3" s="352"/>
      <c r="U3" s="352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368"/>
      <c r="AL3" s="140"/>
      <c r="AM3" s="140"/>
      <c r="AN3" s="140"/>
      <c r="AO3" s="140"/>
      <c r="AP3" s="140"/>
      <c r="AQ3" s="140"/>
      <c r="AR3" s="140"/>
      <c r="AS3" s="140"/>
      <c r="AT3" s="325"/>
      <c r="AU3" s="325"/>
      <c r="AV3" s="322"/>
      <c r="AW3" s="322"/>
      <c r="AX3" s="322"/>
      <c r="AY3" s="345"/>
      <c r="AZ3" s="345"/>
    </row>
    <row r="4" spans="1:52" ht="71.25" customHeight="1" x14ac:dyDescent="0.35">
      <c r="A4" s="197"/>
      <c r="B4" s="197"/>
      <c r="C4" s="197"/>
      <c r="D4" s="197"/>
      <c r="E4" s="197"/>
      <c r="F4" s="274"/>
      <c r="G4" s="274"/>
      <c r="H4" s="274"/>
      <c r="I4" s="274"/>
      <c r="J4" s="195"/>
      <c r="K4" s="36" t="s">
        <v>214</v>
      </c>
      <c r="L4" s="35" t="s">
        <v>94</v>
      </c>
      <c r="M4" s="8">
        <v>2</v>
      </c>
      <c r="N4" s="19">
        <v>2</v>
      </c>
      <c r="O4" s="188"/>
      <c r="P4" s="195"/>
      <c r="Q4" s="195"/>
      <c r="R4" s="124"/>
      <c r="S4" s="162">
        <f>N4/4</f>
        <v>0.5</v>
      </c>
      <c r="T4" s="352"/>
      <c r="U4" s="352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368"/>
      <c r="AL4" s="140"/>
      <c r="AM4" s="140"/>
      <c r="AN4" s="140"/>
      <c r="AO4" s="140"/>
      <c r="AP4" s="140"/>
      <c r="AQ4" s="140"/>
      <c r="AR4" s="140"/>
      <c r="AS4" s="140"/>
      <c r="AT4" s="325"/>
      <c r="AU4" s="325"/>
      <c r="AV4" s="322"/>
      <c r="AW4" s="322"/>
      <c r="AX4" s="322"/>
      <c r="AY4" s="345"/>
      <c r="AZ4" s="345"/>
    </row>
    <row r="5" spans="1:52" ht="53.25" customHeight="1" x14ac:dyDescent="0.35">
      <c r="A5" s="197"/>
      <c r="B5" s="197"/>
      <c r="C5" s="197"/>
      <c r="D5" s="197"/>
      <c r="E5" s="197"/>
      <c r="F5" s="274"/>
      <c r="G5" s="274"/>
      <c r="H5" s="274"/>
      <c r="I5" s="274"/>
      <c r="J5" s="195"/>
      <c r="K5" s="8" t="s">
        <v>215</v>
      </c>
      <c r="L5" s="35" t="s">
        <v>95</v>
      </c>
      <c r="M5" s="8">
        <v>3</v>
      </c>
      <c r="N5" s="19">
        <v>14</v>
      </c>
      <c r="O5" s="188"/>
      <c r="P5" s="195"/>
      <c r="Q5" s="195"/>
      <c r="R5" s="124"/>
      <c r="S5" s="162">
        <f>N5/25</f>
        <v>0.56000000000000005</v>
      </c>
      <c r="T5" s="352"/>
      <c r="U5" s="352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368"/>
      <c r="AL5" s="140"/>
      <c r="AM5" s="140"/>
      <c r="AN5" s="140"/>
      <c r="AO5" s="140"/>
      <c r="AP5" s="140"/>
      <c r="AQ5" s="140"/>
      <c r="AR5" s="140"/>
      <c r="AS5" s="140"/>
      <c r="AT5" s="325"/>
      <c r="AU5" s="325"/>
      <c r="AV5" s="322"/>
      <c r="AW5" s="322"/>
      <c r="AX5" s="322"/>
      <c r="AY5" s="345"/>
      <c r="AZ5" s="345"/>
    </row>
    <row r="6" spans="1:52" ht="62.25" customHeight="1" x14ac:dyDescent="0.35">
      <c r="A6" s="197"/>
      <c r="B6" s="197"/>
      <c r="C6" s="197"/>
      <c r="D6" s="197"/>
      <c r="E6" s="197"/>
      <c r="F6" s="274"/>
      <c r="G6" s="274"/>
      <c r="H6" s="274"/>
      <c r="I6" s="274"/>
      <c r="J6" s="195"/>
      <c r="K6" s="8" t="s">
        <v>216</v>
      </c>
      <c r="L6" s="35" t="s">
        <v>314</v>
      </c>
      <c r="M6" s="8">
        <v>2</v>
      </c>
      <c r="N6" s="19">
        <v>10</v>
      </c>
      <c r="O6" s="188"/>
      <c r="P6" s="195"/>
      <c r="Q6" s="195"/>
      <c r="R6" s="124"/>
      <c r="S6" s="162">
        <f>N6/26</f>
        <v>0.38461538461538464</v>
      </c>
      <c r="T6" s="352"/>
      <c r="U6" s="352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368"/>
      <c r="AL6" s="140"/>
      <c r="AM6" s="140"/>
      <c r="AN6" s="140"/>
      <c r="AO6" s="140"/>
      <c r="AP6" s="140"/>
      <c r="AQ6" s="140"/>
      <c r="AR6" s="140"/>
      <c r="AS6" s="140"/>
      <c r="AT6" s="325"/>
      <c r="AU6" s="325"/>
      <c r="AV6" s="322"/>
      <c r="AW6" s="322"/>
      <c r="AX6" s="322"/>
      <c r="AY6" s="345"/>
      <c r="AZ6" s="345"/>
    </row>
    <row r="7" spans="1:52" ht="63.75" customHeight="1" x14ac:dyDescent="0.35">
      <c r="A7" s="197"/>
      <c r="B7" s="197"/>
      <c r="C7" s="197"/>
      <c r="D7" s="197"/>
      <c r="E7" s="197"/>
      <c r="F7" s="227"/>
      <c r="G7" s="227"/>
      <c r="H7" s="227"/>
      <c r="I7" s="227"/>
      <c r="J7" s="196"/>
      <c r="K7" s="8" t="s">
        <v>217</v>
      </c>
      <c r="L7" s="35" t="s">
        <v>96</v>
      </c>
      <c r="M7" s="8">
        <v>0</v>
      </c>
      <c r="N7" s="19">
        <f>14+2</f>
        <v>16</v>
      </c>
      <c r="O7" s="189"/>
      <c r="P7" s="196"/>
      <c r="Q7" s="196"/>
      <c r="R7" s="125"/>
      <c r="S7" s="163">
        <f>100%</f>
        <v>1</v>
      </c>
      <c r="T7" s="353"/>
      <c r="U7" s="352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368"/>
      <c r="AL7" s="119"/>
      <c r="AM7" s="119"/>
      <c r="AN7" s="119"/>
      <c r="AO7" s="119"/>
      <c r="AP7" s="119"/>
      <c r="AQ7" s="119"/>
      <c r="AR7" s="119"/>
      <c r="AS7" s="119"/>
      <c r="AT7" s="326"/>
      <c r="AU7" s="326"/>
      <c r="AV7" s="323"/>
      <c r="AW7" s="323"/>
      <c r="AX7" s="323"/>
      <c r="AY7" s="345"/>
      <c r="AZ7" s="345"/>
    </row>
    <row r="8" spans="1:52" ht="168.75" customHeight="1" x14ac:dyDescent="0.35">
      <c r="A8" s="197"/>
      <c r="B8" s="197"/>
      <c r="C8" s="197"/>
      <c r="D8" s="197" t="s">
        <v>26</v>
      </c>
      <c r="E8" s="197" t="s">
        <v>27</v>
      </c>
      <c r="F8" s="226" t="s">
        <v>152</v>
      </c>
      <c r="G8" s="226" t="s">
        <v>153</v>
      </c>
      <c r="H8" s="226" t="s">
        <v>398</v>
      </c>
      <c r="I8" s="226"/>
      <c r="J8" s="197" t="s">
        <v>26</v>
      </c>
      <c r="K8" s="8" t="s">
        <v>218</v>
      </c>
      <c r="L8" s="35" t="s">
        <v>97</v>
      </c>
      <c r="M8" s="8" t="s">
        <v>153</v>
      </c>
      <c r="N8" s="19">
        <v>0</v>
      </c>
      <c r="O8" s="19" t="s">
        <v>518</v>
      </c>
      <c r="P8" s="197" t="s">
        <v>399</v>
      </c>
      <c r="Q8" s="197"/>
      <c r="R8" s="126"/>
      <c r="S8" s="164">
        <f>N8/1</f>
        <v>0</v>
      </c>
      <c r="T8" s="354">
        <f>SUM(S8:S11)/(4)</f>
        <v>0.3125</v>
      </c>
      <c r="U8" s="352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368"/>
      <c r="AL8" s="141"/>
      <c r="AM8" s="141"/>
      <c r="AN8" s="141"/>
      <c r="AO8" s="141"/>
      <c r="AP8" s="141"/>
      <c r="AQ8" s="141"/>
      <c r="AR8" s="141"/>
      <c r="AS8" s="141"/>
      <c r="AT8" s="324">
        <v>0</v>
      </c>
      <c r="AU8" s="324">
        <v>0</v>
      </c>
      <c r="AV8" s="324">
        <v>0</v>
      </c>
      <c r="AW8" s="324">
        <v>0</v>
      </c>
      <c r="AX8" s="324">
        <v>0</v>
      </c>
      <c r="AY8" s="346"/>
      <c r="AZ8" s="346"/>
    </row>
    <row r="9" spans="1:52" ht="133.5" customHeight="1" x14ac:dyDescent="0.35">
      <c r="A9" s="197"/>
      <c r="B9" s="197"/>
      <c r="C9" s="197"/>
      <c r="D9" s="197"/>
      <c r="E9" s="197"/>
      <c r="F9" s="274"/>
      <c r="G9" s="274"/>
      <c r="H9" s="274"/>
      <c r="I9" s="274"/>
      <c r="J9" s="197"/>
      <c r="K9" s="8" t="s">
        <v>219</v>
      </c>
      <c r="L9" s="35" t="s">
        <v>98</v>
      </c>
      <c r="M9" s="8" t="s">
        <v>269</v>
      </c>
      <c r="N9" s="13">
        <v>0</v>
      </c>
      <c r="O9" s="13"/>
      <c r="P9" s="197"/>
      <c r="Q9" s="197"/>
      <c r="R9" s="126"/>
      <c r="S9" s="164">
        <f>N9/4</f>
        <v>0</v>
      </c>
      <c r="T9" s="352"/>
      <c r="U9" s="352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368"/>
      <c r="AL9" s="140"/>
      <c r="AM9" s="140"/>
      <c r="AN9" s="140"/>
      <c r="AO9" s="140"/>
      <c r="AP9" s="140"/>
      <c r="AQ9" s="140"/>
      <c r="AR9" s="140"/>
      <c r="AS9" s="140"/>
      <c r="AT9" s="325"/>
      <c r="AU9" s="325"/>
      <c r="AV9" s="325"/>
      <c r="AW9" s="325"/>
      <c r="AX9" s="325"/>
      <c r="AY9" s="346"/>
      <c r="AZ9" s="346"/>
    </row>
    <row r="10" spans="1:52" ht="65" x14ac:dyDescent="0.35">
      <c r="A10" s="197"/>
      <c r="B10" s="197"/>
      <c r="C10" s="197"/>
      <c r="D10" s="197"/>
      <c r="E10" s="197"/>
      <c r="F10" s="274"/>
      <c r="G10" s="274"/>
      <c r="H10" s="274"/>
      <c r="I10" s="274"/>
      <c r="J10" s="197"/>
      <c r="K10" s="8" t="s">
        <v>220</v>
      </c>
      <c r="L10" s="35" t="s">
        <v>99</v>
      </c>
      <c r="M10" s="8" t="s">
        <v>270</v>
      </c>
      <c r="N10" s="13">
        <v>1</v>
      </c>
      <c r="O10" s="13"/>
      <c r="P10" s="197"/>
      <c r="Q10" s="197"/>
      <c r="R10" s="126"/>
      <c r="S10" s="164">
        <f>N10/4</f>
        <v>0.25</v>
      </c>
      <c r="T10" s="352"/>
      <c r="U10" s="352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368"/>
      <c r="AL10" s="140"/>
      <c r="AM10" s="140"/>
      <c r="AN10" s="140"/>
      <c r="AO10" s="140"/>
      <c r="AP10" s="140"/>
      <c r="AQ10" s="140"/>
      <c r="AR10" s="140"/>
      <c r="AS10" s="140"/>
      <c r="AT10" s="325"/>
      <c r="AU10" s="325"/>
      <c r="AV10" s="325"/>
      <c r="AW10" s="325"/>
      <c r="AX10" s="325"/>
      <c r="AY10" s="346"/>
      <c r="AZ10" s="346"/>
    </row>
    <row r="11" spans="1:52" ht="57" customHeight="1" x14ac:dyDescent="0.35">
      <c r="A11" s="197"/>
      <c r="B11" s="197"/>
      <c r="C11" s="197"/>
      <c r="D11" s="197"/>
      <c r="E11" s="197"/>
      <c r="F11" s="227"/>
      <c r="G11" s="227"/>
      <c r="H11" s="227"/>
      <c r="I11" s="227"/>
      <c r="J11" s="197"/>
      <c r="K11" s="18" t="s">
        <v>221</v>
      </c>
      <c r="L11" s="35" t="s">
        <v>100</v>
      </c>
      <c r="M11" s="10">
        <v>106</v>
      </c>
      <c r="N11" s="13">
        <f>40+396</f>
        <v>436</v>
      </c>
      <c r="O11" s="13"/>
      <c r="P11" s="197"/>
      <c r="Q11" s="197"/>
      <c r="R11" s="126"/>
      <c r="S11" s="164">
        <f>100%</f>
        <v>1</v>
      </c>
      <c r="T11" s="353"/>
      <c r="U11" s="352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368"/>
      <c r="AL11" s="119"/>
      <c r="AM11" s="119"/>
      <c r="AN11" s="119"/>
      <c r="AO11" s="119"/>
      <c r="AP11" s="119"/>
      <c r="AQ11" s="119"/>
      <c r="AR11" s="119"/>
      <c r="AS11" s="119"/>
      <c r="AT11" s="326"/>
      <c r="AU11" s="326"/>
      <c r="AV11" s="326"/>
      <c r="AW11" s="326"/>
      <c r="AX11" s="326"/>
      <c r="AY11" s="346"/>
      <c r="AZ11" s="346"/>
    </row>
    <row r="12" spans="1:52" ht="84.75" customHeight="1" x14ac:dyDescent="0.35">
      <c r="A12" s="197" t="s">
        <v>28</v>
      </c>
      <c r="B12" s="198" t="s">
        <v>29</v>
      </c>
      <c r="C12" s="198" t="s">
        <v>30</v>
      </c>
      <c r="D12" s="198" t="s">
        <v>31</v>
      </c>
      <c r="E12" s="198" t="s">
        <v>32</v>
      </c>
      <c r="F12" s="226" t="s">
        <v>154</v>
      </c>
      <c r="G12" s="226" t="s">
        <v>153</v>
      </c>
      <c r="H12" s="226" t="s">
        <v>398</v>
      </c>
      <c r="I12" s="226"/>
      <c r="J12" s="198" t="s">
        <v>80</v>
      </c>
      <c r="K12" s="8" t="s">
        <v>222</v>
      </c>
      <c r="L12" s="35" t="s">
        <v>101</v>
      </c>
      <c r="M12" s="10">
        <v>2</v>
      </c>
      <c r="N12" s="13">
        <v>20</v>
      </c>
      <c r="O12" s="190" t="s">
        <v>518</v>
      </c>
      <c r="P12" s="198" t="s">
        <v>399</v>
      </c>
      <c r="Q12" s="198"/>
      <c r="R12" s="123"/>
      <c r="S12" s="165">
        <f>N12/50</f>
        <v>0.4</v>
      </c>
      <c r="T12" s="354">
        <f>SUM(S12:S14)/(3)</f>
        <v>0.59566666666666668</v>
      </c>
      <c r="U12" s="352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368"/>
      <c r="AL12" s="141"/>
      <c r="AM12" s="141"/>
      <c r="AN12" s="141"/>
      <c r="AO12" s="141"/>
      <c r="AP12" s="141"/>
      <c r="AQ12" s="141"/>
      <c r="AR12" s="141"/>
      <c r="AS12" s="141"/>
      <c r="AT12" s="349">
        <v>0</v>
      </c>
      <c r="AU12" s="324">
        <v>0</v>
      </c>
      <c r="AV12" s="327">
        <v>0</v>
      </c>
      <c r="AW12" s="327">
        <v>0</v>
      </c>
      <c r="AX12" s="327">
        <v>0</v>
      </c>
      <c r="AY12" s="345"/>
      <c r="AZ12" s="345"/>
    </row>
    <row r="13" spans="1:52" ht="78" customHeight="1" x14ac:dyDescent="0.35">
      <c r="A13" s="197"/>
      <c r="B13" s="195"/>
      <c r="C13" s="195"/>
      <c r="D13" s="195"/>
      <c r="E13" s="195"/>
      <c r="F13" s="274"/>
      <c r="G13" s="274"/>
      <c r="H13" s="274"/>
      <c r="I13" s="274"/>
      <c r="J13" s="195"/>
      <c r="K13" s="8" t="s">
        <v>223</v>
      </c>
      <c r="L13" s="35" t="s">
        <v>102</v>
      </c>
      <c r="M13" s="10">
        <v>4</v>
      </c>
      <c r="N13" s="42">
        <v>33</v>
      </c>
      <c r="O13" s="191"/>
      <c r="P13" s="195"/>
      <c r="Q13" s="195"/>
      <c r="R13" s="124"/>
      <c r="S13" s="162">
        <f>N13/50</f>
        <v>0.66</v>
      </c>
      <c r="T13" s="352"/>
      <c r="U13" s="352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368"/>
      <c r="AL13" s="119"/>
      <c r="AM13" s="119"/>
      <c r="AN13" s="119"/>
      <c r="AO13" s="119"/>
      <c r="AP13" s="119"/>
      <c r="AQ13" s="119"/>
      <c r="AR13" s="119"/>
      <c r="AS13" s="119"/>
      <c r="AT13" s="350"/>
      <c r="AU13" s="326"/>
      <c r="AV13" s="323"/>
      <c r="AW13" s="323"/>
      <c r="AX13" s="323"/>
      <c r="AY13" s="345"/>
      <c r="AZ13" s="345"/>
    </row>
    <row r="14" spans="1:52" ht="88.5" customHeight="1" x14ac:dyDescent="0.35">
      <c r="A14" s="197"/>
      <c r="B14" s="196"/>
      <c r="C14" s="196"/>
      <c r="D14" s="196"/>
      <c r="E14" s="196"/>
      <c r="F14" s="227"/>
      <c r="G14" s="227"/>
      <c r="H14" s="227"/>
      <c r="I14" s="227"/>
      <c r="J14" s="196"/>
      <c r="K14" s="8" t="s">
        <v>224</v>
      </c>
      <c r="L14" s="35" t="s">
        <v>103</v>
      </c>
      <c r="M14" s="10" t="s">
        <v>153</v>
      </c>
      <c r="N14" s="13">
        <f>576+151</f>
        <v>727</v>
      </c>
      <c r="O14" s="25"/>
      <c r="P14" s="196"/>
      <c r="Q14" s="196"/>
      <c r="R14" s="125"/>
      <c r="S14" s="163">
        <f>N14/1000</f>
        <v>0.72699999999999998</v>
      </c>
      <c r="T14" s="353"/>
      <c r="U14" s="353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368"/>
      <c r="AL14" s="120"/>
      <c r="AM14" s="120"/>
      <c r="AN14" s="120"/>
      <c r="AO14" s="120"/>
      <c r="AP14" s="120"/>
      <c r="AQ14" s="120"/>
      <c r="AR14" s="120"/>
      <c r="AS14" s="120"/>
      <c r="AT14" s="23">
        <v>0</v>
      </c>
      <c r="AU14" s="22">
        <v>0</v>
      </c>
      <c r="AV14" s="55">
        <v>0</v>
      </c>
      <c r="AW14" s="55">
        <v>0</v>
      </c>
      <c r="AX14" s="55">
        <v>0</v>
      </c>
      <c r="AY14" s="11"/>
      <c r="AZ14" s="11"/>
    </row>
    <row r="15" spans="1:52" ht="93.75" customHeight="1" x14ac:dyDescent="0.35">
      <c r="A15" s="198" t="s">
        <v>33</v>
      </c>
      <c r="B15" s="198" t="s">
        <v>34</v>
      </c>
      <c r="C15" s="198" t="s">
        <v>35</v>
      </c>
      <c r="D15" s="219" t="s">
        <v>36</v>
      </c>
      <c r="E15" s="56" t="s">
        <v>37</v>
      </c>
      <c r="F15" s="56" t="s">
        <v>155</v>
      </c>
      <c r="G15" s="57" t="s">
        <v>156</v>
      </c>
      <c r="H15" s="71" t="s">
        <v>411</v>
      </c>
      <c r="I15" s="104" t="s">
        <v>454</v>
      </c>
      <c r="J15" s="219" t="s">
        <v>81</v>
      </c>
      <c r="K15" s="57" t="s">
        <v>225</v>
      </c>
      <c r="L15" s="58" t="s">
        <v>104</v>
      </c>
      <c r="M15" s="57" t="s">
        <v>271</v>
      </c>
      <c r="N15" s="96" t="s">
        <v>309</v>
      </c>
      <c r="O15" s="150" t="s">
        <v>519</v>
      </c>
      <c r="P15" s="91" t="s">
        <v>421</v>
      </c>
      <c r="Q15" s="104" t="s">
        <v>461</v>
      </c>
      <c r="R15" s="128"/>
      <c r="S15" s="166">
        <f>1/1</f>
        <v>1</v>
      </c>
      <c r="T15" s="355">
        <f>SUM(S15:S16)/(2)</f>
        <v>1</v>
      </c>
      <c r="U15" s="374">
        <f>SUM(T15:T18)/(2)</f>
        <v>1</v>
      </c>
      <c r="V15" s="219" t="s">
        <v>291</v>
      </c>
      <c r="W15" s="219" t="s">
        <v>292</v>
      </c>
      <c r="X15" s="59" t="s">
        <v>377</v>
      </c>
      <c r="Y15" s="59" t="s">
        <v>379</v>
      </c>
      <c r="Z15" s="60">
        <v>1</v>
      </c>
      <c r="AA15" s="59" t="s">
        <v>379</v>
      </c>
      <c r="AB15" s="60">
        <v>1</v>
      </c>
      <c r="AC15" s="60">
        <v>0</v>
      </c>
      <c r="AD15" s="60">
        <v>1</v>
      </c>
      <c r="AE15" s="134">
        <f>AD15/AB15</f>
        <v>1</v>
      </c>
      <c r="AF15" s="200">
        <f>SUM(AE15:AE16)/(2)</f>
        <v>1</v>
      </c>
      <c r="AG15" s="200">
        <f>SUM(AF15:AF18)/(2)</f>
        <v>1</v>
      </c>
      <c r="AH15" s="59" t="s">
        <v>376</v>
      </c>
      <c r="AI15" s="61">
        <v>43862</v>
      </c>
      <c r="AJ15" s="61">
        <v>44196</v>
      </c>
      <c r="AK15" s="219" t="s">
        <v>358</v>
      </c>
      <c r="AL15" s="113" t="s">
        <v>479</v>
      </c>
      <c r="AM15" s="113" t="s">
        <v>480</v>
      </c>
      <c r="AN15" s="113" t="s">
        <v>481</v>
      </c>
      <c r="AO15" s="113">
        <v>160532033.44999999</v>
      </c>
      <c r="AP15" s="113">
        <v>52303336</v>
      </c>
      <c r="AQ15" s="113">
        <v>7240829318.4499998</v>
      </c>
      <c r="AR15" s="113">
        <v>899046110.25</v>
      </c>
      <c r="AS15" s="145">
        <f>AR15/AQ15</f>
        <v>0.12416341702174707</v>
      </c>
      <c r="AT15" s="62">
        <v>7080297285</v>
      </c>
      <c r="AU15" s="80" t="s">
        <v>427</v>
      </c>
      <c r="AV15" s="81" t="s">
        <v>393</v>
      </c>
      <c r="AW15" s="93">
        <v>20000000</v>
      </c>
      <c r="AX15" s="93">
        <v>846742774</v>
      </c>
      <c r="AY15" s="89" t="s">
        <v>428</v>
      </c>
      <c r="AZ15" s="89" t="s">
        <v>467</v>
      </c>
    </row>
    <row r="16" spans="1:52" ht="98.25" customHeight="1" x14ac:dyDescent="0.35">
      <c r="A16" s="195"/>
      <c r="B16" s="195"/>
      <c r="C16" s="195"/>
      <c r="D16" s="220"/>
      <c r="E16" s="63" t="s">
        <v>38</v>
      </c>
      <c r="F16" s="56" t="s">
        <v>157</v>
      </c>
      <c r="G16" s="56" t="s">
        <v>158</v>
      </c>
      <c r="H16" s="71" t="s">
        <v>412</v>
      </c>
      <c r="I16" s="104" t="s">
        <v>455</v>
      </c>
      <c r="J16" s="241"/>
      <c r="K16" s="56" t="s">
        <v>226</v>
      </c>
      <c r="L16" s="63" t="s">
        <v>105</v>
      </c>
      <c r="M16" s="56">
        <v>0</v>
      </c>
      <c r="N16" s="64">
        <f>13+14+13</f>
        <v>40</v>
      </c>
      <c r="O16" s="64">
        <v>8</v>
      </c>
      <c r="P16" s="65">
        <v>20</v>
      </c>
      <c r="Q16" s="99">
        <v>14</v>
      </c>
      <c r="R16" s="185">
        <f>100%</f>
        <v>1</v>
      </c>
      <c r="S16" s="167">
        <f>100%</f>
        <v>1</v>
      </c>
      <c r="T16" s="356"/>
      <c r="U16" s="375"/>
      <c r="V16" s="220"/>
      <c r="W16" s="220"/>
      <c r="X16" s="59" t="s">
        <v>322</v>
      </c>
      <c r="Y16" s="59" t="s">
        <v>226</v>
      </c>
      <c r="Z16" s="60">
        <v>8</v>
      </c>
      <c r="AA16" s="59" t="s">
        <v>226</v>
      </c>
      <c r="AB16" s="60">
        <v>8</v>
      </c>
      <c r="AC16" s="60">
        <v>20</v>
      </c>
      <c r="AD16" s="60">
        <v>14</v>
      </c>
      <c r="AE16" s="134">
        <f>100%</f>
        <v>1</v>
      </c>
      <c r="AF16" s="201"/>
      <c r="AG16" s="206"/>
      <c r="AH16" s="59" t="s">
        <v>339</v>
      </c>
      <c r="AI16" s="61">
        <v>43862</v>
      </c>
      <c r="AJ16" s="61">
        <v>44196</v>
      </c>
      <c r="AK16" s="220"/>
      <c r="AL16" s="114" t="s">
        <v>482</v>
      </c>
      <c r="AM16" s="114" t="s">
        <v>483</v>
      </c>
      <c r="AN16" s="114" t="s">
        <v>427</v>
      </c>
      <c r="AO16" s="114">
        <v>1</v>
      </c>
      <c r="AP16" s="114"/>
      <c r="AQ16" s="114"/>
      <c r="AR16" s="114"/>
      <c r="AS16" s="114"/>
      <c r="AT16" s="328">
        <v>160532033</v>
      </c>
      <c r="AU16" s="386" t="s">
        <v>336</v>
      </c>
      <c r="AV16" s="369" t="s">
        <v>337</v>
      </c>
      <c r="AW16" s="328">
        <v>52303336</v>
      </c>
      <c r="AX16" s="328">
        <v>52303336</v>
      </c>
      <c r="AY16" s="70" t="s">
        <v>419</v>
      </c>
      <c r="AZ16" s="59" t="s">
        <v>468</v>
      </c>
    </row>
    <row r="17" spans="1:52" ht="79.5" customHeight="1" x14ac:dyDescent="0.35">
      <c r="A17" s="195"/>
      <c r="B17" s="195"/>
      <c r="C17" s="195"/>
      <c r="D17" s="220"/>
      <c r="E17" s="63" t="s">
        <v>39</v>
      </c>
      <c r="F17" s="56" t="s">
        <v>159</v>
      </c>
      <c r="G17" s="56" t="s">
        <v>160</v>
      </c>
      <c r="H17" s="71" t="s">
        <v>413</v>
      </c>
      <c r="I17" s="104" t="s">
        <v>456</v>
      </c>
      <c r="J17" s="219" t="s">
        <v>82</v>
      </c>
      <c r="K17" s="56" t="s">
        <v>227</v>
      </c>
      <c r="L17" s="63" t="s">
        <v>106</v>
      </c>
      <c r="M17" s="56" t="s">
        <v>272</v>
      </c>
      <c r="N17" s="66">
        <f>4+13+4</f>
        <v>21</v>
      </c>
      <c r="O17" s="66">
        <v>1</v>
      </c>
      <c r="P17" s="66">
        <v>20</v>
      </c>
      <c r="Q17" s="66">
        <v>0</v>
      </c>
      <c r="R17" s="149">
        <f>100%</f>
        <v>1</v>
      </c>
      <c r="S17" s="138">
        <f>100%</f>
        <v>1</v>
      </c>
      <c r="T17" s="206">
        <f>SUM(S17:S18)/(2)</f>
        <v>1</v>
      </c>
      <c r="U17" s="375"/>
      <c r="V17" s="220"/>
      <c r="W17" s="220"/>
      <c r="X17" s="59" t="s">
        <v>378</v>
      </c>
      <c r="Y17" s="59" t="s">
        <v>392</v>
      </c>
      <c r="Z17" s="67">
        <v>1</v>
      </c>
      <c r="AA17" s="59" t="s">
        <v>392</v>
      </c>
      <c r="AB17" s="67">
        <v>1</v>
      </c>
      <c r="AC17" s="67">
        <v>20</v>
      </c>
      <c r="AD17" s="67">
        <v>0</v>
      </c>
      <c r="AE17" s="134">
        <f>100%</f>
        <v>1</v>
      </c>
      <c r="AF17" s="202">
        <f>SUM(AE17:AE18)/(2)</f>
        <v>1</v>
      </c>
      <c r="AG17" s="206"/>
      <c r="AH17" s="59" t="s">
        <v>376</v>
      </c>
      <c r="AI17" s="68">
        <v>43862</v>
      </c>
      <c r="AJ17" s="68">
        <v>44196</v>
      </c>
      <c r="AK17" s="220"/>
      <c r="AL17" s="114" t="s">
        <v>484</v>
      </c>
      <c r="AM17" s="114" t="s">
        <v>485</v>
      </c>
      <c r="AN17" s="114" t="s">
        <v>486</v>
      </c>
      <c r="AO17" s="114">
        <v>6908532347</v>
      </c>
      <c r="AP17" s="114">
        <v>846742774.25</v>
      </c>
      <c r="AQ17" s="114"/>
      <c r="AR17" s="114"/>
      <c r="AS17" s="114"/>
      <c r="AT17" s="329"/>
      <c r="AU17" s="387"/>
      <c r="AV17" s="370"/>
      <c r="AW17" s="329"/>
      <c r="AX17" s="329"/>
      <c r="AY17" s="70" t="s">
        <v>419</v>
      </c>
      <c r="AZ17" s="70"/>
    </row>
    <row r="18" spans="1:52" ht="66.75" customHeight="1" x14ac:dyDescent="0.35">
      <c r="A18" s="195"/>
      <c r="B18" s="195"/>
      <c r="C18" s="195"/>
      <c r="D18" s="241"/>
      <c r="E18" s="58" t="s">
        <v>40</v>
      </c>
      <c r="F18" s="58" t="s">
        <v>161</v>
      </c>
      <c r="G18" s="58" t="s">
        <v>162</v>
      </c>
      <c r="H18" s="69" t="s">
        <v>414</v>
      </c>
      <c r="I18" s="102" t="s">
        <v>457</v>
      </c>
      <c r="J18" s="241"/>
      <c r="K18" s="57" t="s">
        <v>228</v>
      </c>
      <c r="L18" s="58" t="s">
        <v>107</v>
      </c>
      <c r="M18" s="57" t="s">
        <v>273</v>
      </c>
      <c r="N18" s="57">
        <f>18+8+4</f>
        <v>30</v>
      </c>
      <c r="O18" s="154" t="s">
        <v>403</v>
      </c>
      <c r="P18" s="64" t="s">
        <v>403</v>
      </c>
      <c r="Q18" s="64" t="s">
        <v>403</v>
      </c>
      <c r="R18" s="156"/>
      <c r="S18" s="168">
        <f>N18/30</f>
        <v>1</v>
      </c>
      <c r="T18" s="201"/>
      <c r="U18" s="376"/>
      <c r="V18" s="220"/>
      <c r="W18" s="220"/>
      <c r="X18" s="59" t="s">
        <v>396</v>
      </c>
      <c r="Y18" s="59" t="s">
        <v>374</v>
      </c>
      <c r="Z18" s="67">
        <v>8</v>
      </c>
      <c r="AA18" s="59" t="s">
        <v>375</v>
      </c>
      <c r="AB18" s="67">
        <v>8</v>
      </c>
      <c r="AC18" s="67">
        <v>3</v>
      </c>
      <c r="AD18" s="67">
        <v>26</v>
      </c>
      <c r="AE18" s="134">
        <f>100%</f>
        <v>1</v>
      </c>
      <c r="AF18" s="203"/>
      <c r="AG18" s="201"/>
      <c r="AH18" s="59" t="s">
        <v>376</v>
      </c>
      <c r="AI18" s="68">
        <v>43862</v>
      </c>
      <c r="AJ18" s="68">
        <v>44196</v>
      </c>
      <c r="AK18" s="220"/>
      <c r="AL18" s="114" t="s">
        <v>487</v>
      </c>
      <c r="AM18" s="114" t="s">
        <v>488</v>
      </c>
      <c r="AN18" s="114" t="s">
        <v>489</v>
      </c>
      <c r="AO18" s="114">
        <v>171764937</v>
      </c>
      <c r="AP18" s="114"/>
      <c r="AQ18" s="114"/>
      <c r="AR18" s="114"/>
      <c r="AS18" s="114"/>
      <c r="AT18" s="330"/>
      <c r="AU18" s="388"/>
      <c r="AV18" s="371"/>
      <c r="AW18" s="330"/>
      <c r="AX18" s="330"/>
      <c r="AY18" s="70" t="s">
        <v>419</v>
      </c>
      <c r="AZ18" s="59" t="s">
        <v>448</v>
      </c>
    </row>
    <row r="19" spans="1:52" ht="72.75" customHeight="1" x14ac:dyDescent="0.35">
      <c r="A19" s="195"/>
      <c r="B19" s="195"/>
      <c r="C19" s="195"/>
      <c r="D19" s="275" t="s">
        <v>41</v>
      </c>
      <c r="E19" s="218" t="s">
        <v>42</v>
      </c>
      <c r="F19" s="222" t="s">
        <v>163</v>
      </c>
      <c r="G19" s="222" t="s">
        <v>164</v>
      </c>
      <c r="H19" s="222">
        <v>25</v>
      </c>
      <c r="I19" s="222">
        <v>0</v>
      </c>
      <c r="J19" s="218" t="s">
        <v>83</v>
      </c>
      <c r="K19" s="222" t="s">
        <v>229</v>
      </c>
      <c r="L19" s="63" t="s">
        <v>108</v>
      </c>
      <c r="M19" s="56" t="s">
        <v>274</v>
      </c>
      <c r="N19" s="64">
        <f>138+16+13</f>
        <v>167</v>
      </c>
      <c r="O19" s="64">
        <v>5</v>
      </c>
      <c r="P19" s="88">
        <v>3</v>
      </c>
      <c r="Q19" s="88">
        <v>0</v>
      </c>
      <c r="R19" s="169">
        <f>P19/O19</f>
        <v>0.6</v>
      </c>
      <c r="S19" s="169">
        <f>100%</f>
        <v>1</v>
      </c>
      <c r="T19" s="357">
        <f>SUM(S19:S20)/(2)</f>
        <v>1</v>
      </c>
      <c r="U19" s="357">
        <f>SUM(T19:T26)/(3)</f>
        <v>0.63888888888888895</v>
      </c>
      <c r="V19" s="218" t="s">
        <v>293</v>
      </c>
      <c r="W19" s="218" t="s">
        <v>294</v>
      </c>
      <c r="X19" s="59" t="s">
        <v>323</v>
      </c>
      <c r="Y19" s="59" t="s">
        <v>318</v>
      </c>
      <c r="Z19" s="70">
        <v>5</v>
      </c>
      <c r="AA19" s="59" t="s">
        <v>318</v>
      </c>
      <c r="AB19" s="70">
        <v>5</v>
      </c>
      <c r="AC19" s="94">
        <v>3</v>
      </c>
      <c r="AD19" s="94">
        <v>0</v>
      </c>
      <c r="AE19" s="134">
        <f>AC19/AB19</f>
        <v>0.6</v>
      </c>
      <c r="AF19" s="204">
        <f>SUM(AE19:AE20)/(2)</f>
        <v>0.8</v>
      </c>
      <c r="AG19" s="204">
        <f>SUM(AF19:AF27)/(3)</f>
        <v>0.48888888888888893</v>
      </c>
      <c r="AH19" s="59" t="s">
        <v>376</v>
      </c>
      <c r="AI19" s="61">
        <v>43831</v>
      </c>
      <c r="AJ19" s="61">
        <v>44196</v>
      </c>
      <c r="AK19" s="218" t="s">
        <v>359</v>
      </c>
      <c r="AL19" s="113" t="s">
        <v>490</v>
      </c>
      <c r="AM19" s="113" t="s">
        <v>480</v>
      </c>
      <c r="AN19" s="113" t="s">
        <v>491</v>
      </c>
      <c r="AO19" s="113">
        <v>43157019.5</v>
      </c>
      <c r="AP19" s="113">
        <v>14000000</v>
      </c>
      <c r="AQ19" s="113">
        <v>8420764991.3900003</v>
      </c>
      <c r="AR19" s="113">
        <v>2010236740</v>
      </c>
      <c r="AS19" s="145">
        <f>AR19/AQ19</f>
        <v>0.23872376702774767</v>
      </c>
      <c r="AT19" s="331">
        <v>43157020</v>
      </c>
      <c r="AU19" s="347" t="s">
        <v>380</v>
      </c>
      <c r="AV19" s="372" t="s">
        <v>337</v>
      </c>
      <c r="AW19" s="331">
        <v>14000000</v>
      </c>
      <c r="AX19" s="331">
        <v>14000000</v>
      </c>
      <c r="AY19" s="59" t="s">
        <v>429</v>
      </c>
      <c r="AZ19" s="59" t="s">
        <v>449</v>
      </c>
    </row>
    <row r="20" spans="1:52" ht="78" customHeight="1" x14ac:dyDescent="0.35">
      <c r="A20" s="195"/>
      <c r="B20" s="195"/>
      <c r="C20" s="195"/>
      <c r="D20" s="275"/>
      <c r="E20" s="218"/>
      <c r="F20" s="223"/>
      <c r="G20" s="223"/>
      <c r="H20" s="223"/>
      <c r="I20" s="223"/>
      <c r="J20" s="218"/>
      <c r="K20" s="223"/>
      <c r="L20" s="63" t="s">
        <v>109</v>
      </c>
      <c r="M20" s="56" t="s">
        <v>275</v>
      </c>
      <c r="N20" s="64">
        <f>192+60+256</f>
        <v>508</v>
      </c>
      <c r="O20" s="64">
        <v>10</v>
      </c>
      <c r="P20" s="64">
        <v>22</v>
      </c>
      <c r="Q20" s="64">
        <v>0</v>
      </c>
      <c r="R20" s="170">
        <f>100%</f>
        <v>1</v>
      </c>
      <c r="S20" s="170">
        <f>100%</f>
        <v>1</v>
      </c>
      <c r="T20" s="358"/>
      <c r="U20" s="359"/>
      <c r="V20" s="218"/>
      <c r="W20" s="218"/>
      <c r="X20" s="59" t="s">
        <v>324</v>
      </c>
      <c r="Y20" s="59" t="s">
        <v>319</v>
      </c>
      <c r="Z20" s="70">
        <v>10</v>
      </c>
      <c r="AA20" s="59" t="s">
        <v>319</v>
      </c>
      <c r="AB20" s="70">
        <v>10</v>
      </c>
      <c r="AC20" s="70">
        <v>22</v>
      </c>
      <c r="AD20" s="70">
        <v>0</v>
      </c>
      <c r="AE20" s="134">
        <f>100%</f>
        <v>1</v>
      </c>
      <c r="AF20" s="205"/>
      <c r="AG20" s="229"/>
      <c r="AH20" s="59" t="s">
        <v>376</v>
      </c>
      <c r="AI20" s="61">
        <v>43831</v>
      </c>
      <c r="AJ20" s="61">
        <v>44196</v>
      </c>
      <c r="AK20" s="218"/>
      <c r="AL20" s="116"/>
      <c r="AM20" s="116"/>
      <c r="AN20" s="116"/>
      <c r="AO20" s="116"/>
      <c r="AP20" s="116"/>
      <c r="AQ20" s="116"/>
      <c r="AR20" s="116"/>
      <c r="AS20" s="116"/>
      <c r="AT20" s="332"/>
      <c r="AU20" s="348"/>
      <c r="AV20" s="373"/>
      <c r="AW20" s="332"/>
      <c r="AX20" s="332"/>
      <c r="AY20" s="70" t="s">
        <v>419</v>
      </c>
      <c r="AZ20" s="72" t="s">
        <v>446</v>
      </c>
    </row>
    <row r="21" spans="1:52" ht="108" customHeight="1" x14ac:dyDescent="0.35">
      <c r="A21" s="195"/>
      <c r="B21" s="195"/>
      <c r="C21" s="195"/>
      <c r="D21" s="275"/>
      <c r="E21" s="218" t="s">
        <v>43</v>
      </c>
      <c r="F21" s="283" t="s">
        <v>165</v>
      </c>
      <c r="G21" s="278" t="s">
        <v>166</v>
      </c>
      <c r="H21" s="278" t="s">
        <v>415</v>
      </c>
      <c r="I21" s="278" t="s">
        <v>415</v>
      </c>
      <c r="J21" s="218" t="s">
        <v>84</v>
      </c>
      <c r="K21" s="222" t="s">
        <v>313</v>
      </c>
      <c r="L21" s="214" t="s">
        <v>110</v>
      </c>
      <c r="M21" s="224">
        <v>0</v>
      </c>
      <c r="N21" s="224">
        <v>1</v>
      </c>
      <c r="O21" s="151" t="s">
        <v>520</v>
      </c>
      <c r="P21" s="214" t="s">
        <v>415</v>
      </c>
      <c r="Q21" s="214" t="s">
        <v>415</v>
      </c>
      <c r="R21" s="131"/>
      <c r="S21" s="171">
        <f>N21/1</f>
        <v>1</v>
      </c>
      <c r="T21" s="357">
        <f>SUM(S21:S23)/(3)</f>
        <v>0.58333333333333337</v>
      </c>
      <c r="U21" s="359"/>
      <c r="V21" s="221" t="s">
        <v>295</v>
      </c>
      <c r="W21" s="221" t="s">
        <v>296</v>
      </c>
      <c r="X21" s="72" t="s">
        <v>360</v>
      </c>
      <c r="Y21" s="72" t="s">
        <v>327</v>
      </c>
      <c r="Z21" s="70">
        <v>1</v>
      </c>
      <c r="AA21" s="72" t="s">
        <v>327</v>
      </c>
      <c r="AB21" s="70">
        <v>1</v>
      </c>
      <c r="AC21" s="70">
        <v>1</v>
      </c>
      <c r="AD21" s="70">
        <v>0</v>
      </c>
      <c r="AE21" s="134">
        <f>AC21/AB21</f>
        <v>1</v>
      </c>
      <c r="AF21" s="200">
        <f>SUM(AE21:AE23)/(3)</f>
        <v>0.66666666666666663</v>
      </c>
      <c r="AG21" s="229"/>
      <c r="AH21" s="72" t="s">
        <v>340</v>
      </c>
      <c r="AI21" s="61">
        <v>43831</v>
      </c>
      <c r="AJ21" s="61">
        <v>44196</v>
      </c>
      <c r="AK21" s="221" t="s">
        <v>358</v>
      </c>
      <c r="AL21" s="115" t="s">
        <v>492</v>
      </c>
      <c r="AM21" s="115" t="s">
        <v>480</v>
      </c>
      <c r="AN21" s="115" t="s">
        <v>493</v>
      </c>
      <c r="AO21" s="115">
        <v>300000000</v>
      </c>
      <c r="AP21" s="115"/>
      <c r="AQ21" s="115"/>
      <c r="AR21" s="115"/>
      <c r="AS21" s="115"/>
      <c r="AT21" s="73">
        <v>1800000000</v>
      </c>
      <c r="AU21" s="82" t="s">
        <v>382</v>
      </c>
      <c r="AV21" s="81" t="s">
        <v>337</v>
      </c>
      <c r="AW21" s="73">
        <v>1605036740</v>
      </c>
      <c r="AX21" s="73">
        <v>1605036740</v>
      </c>
      <c r="AY21" s="72" t="s">
        <v>430</v>
      </c>
      <c r="AZ21" s="72" t="s">
        <v>447</v>
      </c>
    </row>
    <row r="22" spans="1:52" ht="95.25" customHeight="1" x14ac:dyDescent="0.35">
      <c r="A22" s="195"/>
      <c r="B22" s="195"/>
      <c r="C22" s="195"/>
      <c r="D22" s="275"/>
      <c r="E22" s="218"/>
      <c r="F22" s="284"/>
      <c r="G22" s="278"/>
      <c r="H22" s="278"/>
      <c r="I22" s="278"/>
      <c r="J22" s="218"/>
      <c r="K22" s="223"/>
      <c r="L22" s="215"/>
      <c r="M22" s="225"/>
      <c r="N22" s="225"/>
      <c r="O22" s="152"/>
      <c r="P22" s="215"/>
      <c r="Q22" s="215"/>
      <c r="R22" s="132"/>
      <c r="S22" s="132"/>
      <c r="T22" s="359"/>
      <c r="U22" s="359"/>
      <c r="V22" s="221"/>
      <c r="W22" s="221"/>
      <c r="X22" s="72" t="s">
        <v>395</v>
      </c>
      <c r="Y22" s="72" t="s">
        <v>328</v>
      </c>
      <c r="Z22" s="70">
        <v>16</v>
      </c>
      <c r="AA22" s="72" t="s">
        <v>328</v>
      </c>
      <c r="AB22" s="70">
        <v>16</v>
      </c>
      <c r="AC22" s="70">
        <v>18</v>
      </c>
      <c r="AD22" s="70">
        <v>0</v>
      </c>
      <c r="AE22" s="134">
        <f>100%</f>
        <v>1</v>
      </c>
      <c r="AF22" s="206"/>
      <c r="AG22" s="229"/>
      <c r="AH22" s="72" t="s">
        <v>340</v>
      </c>
      <c r="AI22" s="61">
        <v>43831</v>
      </c>
      <c r="AJ22" s="61">
        <v>44196</v>
      </c>
      <c r="AK22" s="221"/>
      <c r="AL22" s="115" t="s">
        <v>494</v>
      </c>
      <c r="AM22" s="115" t="s">
        <v>480</v>
      </c>
      <c r="AN22" s="115" t="s">
        <v>495</v>
      </c>
      <c r="AO22" s="115">
        <v>500000000</v>
      </c>
      <c r="AP22" s="115">
        <v>183200000</v>
      </c>
      <c r="AQ22" s="115"/>
      <c r="AR22" s="115"/>
      <c r="AS22" s="115"/>
      <c r="AT22" s="74">
        <v>500000000</v>
      </c>
      <c r="AU22" s="82" t="s">
        <v>381</v>
      </c>
      <c r="AV22" s="81" t="s">
        <v>337</v>
      </c>
      <c r="AW22" s="74">
        <v>183200000</v>
      </c>
      <c r="AX22" s="74">
        <v>183200000</v>
      </c>
      <c r="AY22" s="72" t="s">
        <v>431</v>
      </c>
      <c r="AZ22" s="72" t="s">
        <v>450</v>
      </c>
    </row>
    <row r="23" spans="1:52" ht="105.75" customHeight="1" x14ac:dyDescent="0.35">
      <c r="A23" s="195"/>
      <c r="B23" s="195"/>
      <c r="C23" s="195"/>
      <c r="D23" s="275"/>
      <c r="E23" s="218"/>
      <c r="F23" s="285"/>
      <c r="G23" s="278"/>
      <c r="H23" s="278"/>
      <c r="I23" s="278"/>
      <c r="J23" s="218"/>
      <c r="K23" s="56" t="s">
        <v>230</v>
      </c>
      <c r="L23" s="63" t="s">
        <v>111</v>
      </c>
      <c r="M23" s="65">
        <v>1</v>
      </c>
      <c r="N23" s="64">
        <f>2+1</f>
        <v>3</v>
      </c>
      <c r="O23" s="64">
        <v>1</v>
      </c>
      <c r="P23" s="64">
        <v>0</v>
      </c>
      <c r="Q23" s="99">
        <v>0</v>
      </c>
      <c r="R23" s="172">
        <f>Q23/O23</f>
        <v>0</v>
      </c>
      <c r="S23" s="172">
        <f>N23/4</f>
        <v>0.75</v>
      </c>
      <c r="T23" s="358"/>
      <c r="U23" s="359"/>
      <c r="V23" s="221"/>
      <c r="W23" s="221"/>
      <c r="X23" s="59" t="s">
        <v>312</v>
      </c>
      <c r="Y23" s="75" t="s">
        <v>320</v>
      </c>
      <c r="Z23" s="70">
        <v>1</v>
      </c>
      <c r="AA23" s="75" t="s">
        <v>320</v>
      </c>
      <c r="AB23" s="70">
        <v>1</v>
      </c>
      <c r="AC23" s="70">
        <v>0</v>
      </c>
      <c r="AD23" s="70">
        <v>0</v>
      </c>
      <c r="AE23" s="134">
        <f t="shared" ref="AE23:AE24" si="0">AD23/AB23</f>
        <v>0</v>
      </c>
      <c r="AF23" s="201"/>
      <c r="AG23" s="229"/>
      <c r="AH23" s="72" t="s">
        <v>343</v>
      </c>
      <c r="AI23" s="61">
        <v>43862</v>
      </c>
      <c r="AJ23" s="61">
        <v>44196</v>
      </c>
      <c r="AK23" s="221"/>
      <c r="AL23" s="115" t="s">
        <v>496</v>
      </c>
      <c r="AM23" s="115" t="s">
        <v>480</v>
      </c>
      <c r="AN23" s="115" t="s">
        <v>497</v>
      </c>
      <c r="AO23" s="115">
        <v>1800000000</v>
      </c>
      <c r="AP23" s="115">
        <v>1605036740</v>
      </c>
      <c r="AQ23" s="115"/>
      <c r="AR23" s="115"/>
      <c r="AS23" s="115"/>
      <c r="AT23" s="74">
        <v>200000000</v>
      </c>
      <c r="AU23" s="82" t="s">
        <v>383</v>
      </c>
      <c r="AV23" s="81" t="s">
        <v>337</v>
      </c>
      <c r="AW23" s="81">
        <v>0</v>
      </c>
      <c r="AX23" s="81">
        <v>0</v>
      </c>
      <c r="AY23" s="72" t="s">
        <v>432</v>
      </c>
      <c r="AZ23" s="72" t="s">
        <v>451</v>
      </c>
    </row>
    <row r="24" spans="1:52" ht="102.75" customHeight="1" x14ac:dyDescent="0.35">
      <c r="A24" s="195"/>
      <c r="B24" s="195"/>
      <c r="C24" s="195"/>
      <c r="D24" s="275"/>
      <c r="E24" s="63" t="s">
        <v>44</v>
      </c>
      <c r="F24" s="56" t="s">
        <v>167</v>
      </c>
      <c r="G24" s="56" t="s">
        <v>168</v>
      </c>
      <c r="H24" s="91" t="s">
        <v>403</v>
      </c>
      <c r="I24" s="104" t="s">
        <v>403</v>
      </c>
      <c r="J24" s="218" t="s">
        <v>85</v>
      </c>
      <c r="K24" s="56" t="s">
        <v>231</v>
      </c>
      <c r="L24" s="63" t="s">
        <v>112</v>
      </c>
      <c r="M24" s="65">
        <v>0</v>
      </c>
      <c r="N24" s="64">
        <v>0</v>
      </c>
      <c r="O24" s="64" t="s">
        <v>403</v>
      </c>
      <c r="P24" s="64" t="s">
        <v>403</v>
      </c>
      <c r="Q24" s="64" t="s">
        <v>403</v>
      </c>
      <c r="R24" s="64"/>
      <c r="S24" s="170">
        <f>N24/1</f>
        <v>0</v>
      </c>
      <c r="T24" s="360">
        <f>SUM(S24:S26)/(3)</f>
        <v>0.33333333333333331</v>
      </c>
      <c r="U24" s="359"/>
      <c r="V24" s="218" t="s">
        <v>297</v>
      </c>
      <c r="W24" s="218" t="s">
        <v>298</v>
      </c>
      <c r="X24" s="236" t="s">
        <v>346</v>
      </c>
      <c r="Y24" s="238" t="s">
        <v>321</v>
      </c>
      <c r="Z24" s="238">
        <v>3</v>
      </c>
      <c r="AA24" s="238" t="s">
        <v>321</v>
      </c>
      <c r="AB24" s="238">
        <v>3</v>
      </c>
      <c r="AC24" s="238">
        <v>0</v>
      </c>
      <c r="AD24" s="238">
        <v>0</v>
      </c>
      <c r="AE24" s="134">
        <f t="shared" si="0"/>
        <v>0</v>
      </c>
      <c r="AF24" s="202">
        <f>SUM(AE24:AE26)/(3)</f>
        <v>0</v>
      </c>
      <c r="AG24" s="229"/>
      <c r="AH24" s="236" t="s">
        <v>376</v>
      </c>
      <c r="AI24" s="265">
        <v>43831</v>
      </c>
      <c r="AJ24" s="265">
        <v>44196</v>
      </c>
      <c r="AK24" s="218" t="s">
        <v>358</v>
      </c>
      <c r="AL24" s="113" t="s">
        <v>498</v>
      </c>
      <c r="AM24" s="113" t="s">
        <v>499</v>
      </c>
      <c r="AN24" s="113" t="s">
        <v>500</v>
      </c>
      <c r="AO24" s="113">
        <v>5413743982.8900003</v>
      </c>
      <c r="AP24" s="113"/>
      <c r="AQ24" s="113"/>
      <c r="AR24" s="113"/>
      <c r="AS24" s="113"/>
      <c r="AT24" s="299">
        <v>363863989</v>
      </c>
      <c r="AU24" s="319" t="s">
        <v>384</v>
      </c>
      <c r="AV24" s="312" t="s">
        <v>385</v>
      </c>
      <c r="AW24" s="299">
        <v>208000000</v>
      </c>
      <c r="AX24" s="299">
        <v>208000000</v>
      </c>
      <c r="AY24" s="218" t="s">
        <v>433</v>
      </c>
      <c r="AZ24" s="218" t="s">
        <v>462</v>
      </c>
    </row>
    <row r="25" spans="1:52" ht="76.5" customHeight="1" x14ac:dyDescent="0.35">
      <c r="A25" s="195"/>
      <c r="B25" s="195"/>
      <c r="C25" s="195"/>
      <c r="D25" s="275"/>
      <c r="E25" s="63" t="s">
        <v>45</v>
      </c>
      <c r="F25" s="56" t="s">
        <v>169</v>
      </c>
      <c r="G25" s="56" t="s">
        <v>170</v>
      </c>
      <c r="H25" s="91" t="s">
        <v>403</v>
      </c>
      <c r="I25" s="104" t="s">
        <v>403</v>
      </c>
      <c r="J25" s="218"/>
      <c r="K25" s="56" t="s">
        <v>232</v>
      </c>
      <c r="L25" s="63" t="s">
        <v>113</v>
      </c>
      <c r="M25" s="64">
        <v>0</v>
      </c>
      <c r="N25" s="64">
        <v>0</v>
      </c>
      <c r="O25" s="64" t="s">
        <v>403</v>
      </c>
      <c r="P25" s="64" t="s">
        <v>403</v>
      </c>
      <c r="Q25" s="64" t="s">
        <v>403</v>
      </c>
      <c r="R25" s="64"/>
      <c r="S25" s="170">
        <f>N25/1</f>
        <v>0</v>
      </c>
      <c r="T25" s="361"/>
      <c r="U25" s="359"/>
      <c r="V25" s="218"/>
      <c r="W25" s="218"/>
      <c r="X25" s="245"/>
      <c r="Y25" s="239"/>
      <c r="Z25" s="239"/>
      <c r="AA25" s="239"/>
      <c r="AB25" s="239"/>
      <c r="AC25" s="239"/>
      <c r="AD25" s="239"/>
      <c r="AE25" s="109"/>
      <c r="AF25" s="207"/>
      <c r="AG25" s="229"/>
      <c r="AH25" s="245"/>
      <c r="AI25" s="266"/>
      <c r="AJ25" s="266"/>
      <c r="AK25" s="218"/>
      <c r="AL25" s="114" t="s">
        <v>501</v>
      </c>
      <c r="AM25" s="114" t="s">
        <v>502</v>
      </c>
      <c r="AN25" s="114" t="s">
        <v>503</v>
      </c>
      <c r="AO25" s="114">
        <v>363863989</v>
      </c>
      <c r="AP25" s="114">
        <v>208000000</v>
      </c>
      <c r="AQ25" s="114"/>
      <c r="AR25" s="114"/>
      <c r="AS25" s="114"/>
      <c r="AT25" s="300"/>
      <c r="AU25" s="320"/>
      <c r="AV25" s="313"/>
      <c r="AW25" s="300"/>
      <c r="AX25" s="300"/>
      <c r="AY25" s="218"/>
      <c r="AZ25" s="218"/>
    </row>
    <row r="26" spans="1:52" ht="99.75" customHeight="1" x14ac:dyDescent="0.35">
      <c r="A26" s="195"/>
      <c r="B26" s="195"/>
      <c r="C26" s="195"/>
      <c r="D26" s="275"/>
      <c r="E26" s="63" t="s">
        <v>46</v>
      </c>
      <c r="F26" s="56" t="s">
        <v>171</v>
      </c>
      <c r="G26" s="56" t="s">
        <v>172</v>
      </c>
      <c r="H26" s="56">
        <v>0</v>
      </c>
      <c r="I26" s="97">
        <v>0</v>
      </c>
      <c r="J26" s="218"/>
      <c r="K26" s="56" t="s">
        <v>233</v>
      </c>
      <c r="L26" s="63" t="s">
        <v>114</v>
      </c>
      <c r="M26" s="65" t="s">
        <v>153</v>
      </c>
      <c r="N26" s="64">
        <v>3</v>
      </c>
      <c r="O26" s="64">
        <v>3</v>
      </c>
      <c r="P26" s="64">
        <v>0</v>
      </c>
      <c r="Q26" s="99">
        <v>0</v>
      </c>
      <c r="R26" s="172">
        <f>Q26/O26</f>
        <v>0</v>
      </c>
      <c r="S26" s="172">
        <f>N26/3</f>
        <v>1</v>
      </c>
      <c r="T26" s="362"/>
      <c r="U26" s="358"/>
      <c r="V26" s="218"/>
      <c r="W26" s="218"/>
      <c r="X26" s="237"/>
      <c r="Y26" s="240"/>
      <c r="Z26" s="240"/>
      <c r="AA26" s="240"/>
      <c r="AB26" s="240"/>
      <c r="AC26" s="240"/>
      <c r="AD26" s="240"/>
      <c r="AE26" s="109"/>
      <c r="AF26" s="207"/>
      <c r="AG26" s="205"/>
      <c r="AH26" s="237"/>
      <c r="AI26" s="267"/>
      <c r="AJ26" s="267"/>
      <c r="AK26" s="218"/>
      <c r="AL26" s="116"/>
      <c r="AM26" s="116"/>
      <c r="AN26" s="116"/>
      <c r="AO26" s="116"/>
      <c r="AP26" s="116"/>
      <c r="AQ26" s="116"/>
      <c r="AR26" s="116"/>
      <c r="AS26" s="116"/>
      <c r="AT26" s="301"/>
      <c r="AU26" s="321"/>
      <c r="AV26" s="314"/>
      <c r="AW26" s="301"/>
      <c r="AX26" s="301"/>
      <c r="AY26" s="218"/>
      <c r="AZ26" s="218"/>
    </row>
    <row r="27" spans="1:52" ht="72.75" customHeight="1" x14ac:dyDescent="0.35">
      <c r="A27" s="195"/>
      <c r="B27" s="195"/>
      <c r="C27" s="195"/>
      <c r="D27" s="280" t="s">
        <v>47</v>
      </c>
      <c r="E27" s="76" t="s">
        <v>48</v>
      </c>
      <c r="F27" s="77" t="s">
        <v>173</v>
      </c>
      <c r="G27" s="77" t="s">
        <v>174</v>
      </c>
      <c r="H27" s="71" t="s">
        <v>416</v>
      </c>
      <c r="I27" s="104" t="s">
        <v>458</v>
      </c>
      <c r="J27" s="280" t="s">
        <v>86</v>
      </c>
      <c r="K27" s="77" t="s">
        <v>234</v>
      </c>
      <c r="L27" s="76" t="s">
        <v>115</v>
      </c>
      <c r="M27" s="77" t="s">
        <v>276</v>
      </c>
      <c r="N27" s="78">
        <f>3+1</f>
        <v>4</v>
      </c>
      <c r="O27" s="78" t="s">
        <v>403</v>
      </c>
      <c r="P27" s="79" t="s">
        <v>403</v>
      </c>
      <c r="Q27" s="79" t="s">
        <v>403</v>
      </c>
      <c r="R27" s="157"/>
      <c r="S27" s="173">
        <f>N27/4</f>
        <v>1</v>
      </c>
      <c r="T27" s="363">
        <f>SUM(S27:S29)/(3)</f>
        <v>0.66666666666666663</v>
      </c>
      <c r="U27" s="377">
        <f>T27</f>
        <v>0.66666666666666663</v>
      </c>
      <c r="V27" s="222" t="s">
        <v>299</v>
      </c>
      <c r="W27" s="222" t="s">
        <v>351</v>
      </c>
      <c r="X27" s="236" t="s">
        <v>315</v>
      </c>
      <c r="Y27" s="236" t="s">
        <v>326</v>
      </c>
      <c r="Z27" s="310">
        <v>45</v>
      </c>
      <c r="AA27" s="236" t="s">
        <v>326</v>
      </c>
      <c r="AB27" s="310">
        <v>45</v>
      </c>
      <c r="AC27" s="310">
        <v>45</v>
      </c>
      <c r="AD27" s="310">
        <v>0</v>
      </c>
      <c r="AE27" s="135">
        <f>AC27/AB27</f>
        <v>1</v>
      </c>
      <c r="AF27" s="203"/>
      <c r="AG27" s="230">
        <f>AF28</f>
        <v>0.33333333333333331</v>
      </c>
      <c r="AH27" s="236" t="s">
        <v>376</v>
      </c>
      <c r="AI27" s="389">
        <v>43831</v>
      </c>
      <c r="AJ27" s="389">
        <v>44196</v>
      </c>
      <c r="AK27" s="279" t="s">
        <v>394</v>
      </c>
      <c r="AL27" s="142" t="s">
        <v>504</v>
      </c>
      <c r="AM27" s="142" t="s">
        <v>480</v>
      </c>
      <c r="AN27" s="142" t="s">
        <v>505</v>
      </c>
      <c r="AO27" s="142">
        <v>1773499733.29</v>
      </c>
      <c r="AP27" s="142">
        <v>770000000</v>
      </c>
      <c r="AQ27" s="142">
        <v>2973418350.5100002</v>
      </c>
      <c r="AR27" s="142">
        <v>1104143806.47</v>
      </c>
      <c r="AS27" s="146">
        <f>AR27/AQ27</f>
        <v>0.37133819608015045</v>
      </c>
      <c r="AT27" s="297">
        <v>2973418350.5100002</v>
      </c>
      <c r="AU27" s="293" t="s">
        <v>386</v>
      </c>
      <c r="AV27" s="295" t="s">
        <v>387</v>
      </c>
      <c r="AW27" s="297">
        <v>764800000</v>
      </c>
      <c r="AX27" s="297">
        <f>770000000+334143806</f>
        <v>1104143806</v>
      </c>
      <c r="AY27" s="236" t="s">
        <v>434</v>
      </c>
      <c r="AZ27" s="236" t="s">
        <v>452</v>
      </c>
    </row>
    <row r="28" spans="1:52" ht="70.5" customHeight="1" x14ac:dyDescent="0.35">
      <c r="A28" s="195"/>
      <c r="B28" s="195"/>
      <c r="C28" s="195"/>
      <c r="D28" s="281"/>
      <c r="E28" s="275" t="s">
        <v>49</v>
      </c>
      <c r="F28" s="279" t="s">
        <v>175</v>
      </c>
      <c r="G28" s="279" t="s">
        <v>176</v>
      </c>
      <c r="H28" s="279" t="s">
        <v>417</v>
      </c>
      <c r="I28" s="279" t="s">
        <v>459</v>
      </c>
      <c r="J28" s="281"/>
      <c r="K28" s="77" t="s">
        <v>235</v>
      </c>
      <c r="L28" s="76" t="s">
        <v>116</v>
      </c>
      <c r="M28" s="77" t="s">
        <v>277</v>
      </c>
      <c r="N28" s="79" t="s">
        <v>352</v>
      </c>
      <c r="O28" s="79" t="s">
        <v>403</v>
      </c>
      <c r="P28" s="79" t="s">
        <v>403</v>
      </c>
      <c r="Q28" s="79" t="s">
        <v>403</v>
      </c>
      <c r="R28" s="158"/>
      <c r="S28" s="174">
        <f>0%</f>
        <v>0</v>
      </c>
      <c r="T28" s="364"/>
      <c r="U28" s="378"/>
      <c r="V28" s="228"/>
      <c r="W28" s="228"/>
      <c r="X28" s="237"/>
      <c r="Y28" s="237"/>
      <c r="Z28" s="311"/>
      <c r="AA28" s="237"/>
      <c r="AB28" s="311"/>
      <c r="AC28" s="311"/>
      <c r="AD28" s="311"/>
      <c r="AE28" s="109"/>
      <c r="AF28" s="200">
        <f>SUM(AE27:AE29)/(3)</f>
        <v>0.33333333333333331</v>
      </c>
      <c r="AG28" s="231"/>
      <c r="AH28" s="237"/>
      <c r="AI28" s="390"/>
      <c r="AJ28" s="390"/>
      <c r="AK28" s="279"/>
      <c r="AL28" s="143" t="s">
        <v>506</v>
      </c>
      <c r="AM28" s="143" t="s">
        <v>507</v>
      </c>
      <c r="AN28" s="143" t="s">
        <v>508</v>
      </c>
      <c r="AO28" s="143">
        <v>1199918617.22</v>
      </c>
      <c r="AP28" s="143">
        <v>334143806.47000003</v>
      </c>
      <c r="AQ28" s="143"/>
      <c r="AR28" s="143"/>
      <c r="AS28" s="143"/>
      <c r="AT28" s="298"/>
      <c r="AU28" s="294"/>
      <c r="AV28" s="296"/>
      <c r="AW28" s="298"/>
      <c r="AX28" s="298"/>
      <c r="AY28" s="237"/>
      <c r="AZ28" s="237"/>
    </row>
    <row r="29" spans="1:52" ht="80.25" customHeight="1" x14ac:dyDescent="0.35">
      <c r="A29" s="195"/>
      <c r="B29" s="195"/>
      <c r="C29" s="195"/>
      <c r="D29" s="281"/>
      <c r="E29" s="275"/>
      <c r="F29" s="279"/>
      <c r="G29" s="279"/>
      <c r="H29" s="279"/>
      <c r="I29" s="279"/>
      <c r="J29" s="281"/>
      <c r="K29" s="77" t="s">
        <v>236</v>
      </c>
      <c r="L29" s="76" t="s">
        <v>117</v>
      </c>
      <c r="M29" s="77">
        <v>0</v>
      </c>
      <c r="N29" s="78">
        <f>57+56+115</f>
        <v>228</v>
      </c>
      <c r="O29" s="78">
        <v>9</v>
      </c>
      <c r="P29" s="77">
        <v>0</v>
      </c>
      <c r="Q29" s="98">
        <v>0</v>
      </c>
      <c r="R29" s="175">
        <f>P29/O29</f>
        <v>0</v>
      </c>
      <c r="S29" s="175">
        <f>100%</f>
        <v>1</v>
      </c>
      <c r="T29" s="365"/>
      <c r="U29" s="379"/>
      <c r="V29" s="228"/>
      <c r="W29" s="228"/>
      <c r="X29" s="59" t="s">
        <v>361</v>
      </c>
      <c r="Y29" s="59" t="s">
        <v>325</v>
      </c>
      <c r="Z29" s="70">
        <v>9</v>
      </c>
      <c r="AA29" s="59" t="s">
        <v>325</v>
      </c>
      <c r="AB29" s="70">
        <v>9</v>
      </c>
      <c r="AC29" s="70">
        <v>0</v>
      </c>
      <c r="AD29" s="70">
        <v>0</v>
      </c>
      <c r="AE29" s="136">
        <f>AD29/AB29</f>
        <v>0</v>
      </c>
      <c r="AF29" s="201"/>
      <c r="AG29" s="232"/>
      <c r="AH29" s="59" t="s">
        <v>376</v>
      </c>
      <c r="AI29" s="61">
        <v>43831</v>
      </c>
      <c r="AJ29" s="61">
        <v>44196</v>
      </c>
      <c r="AK29" s="279"/>
      <c r="AL29" s="143"/>
      <c r="AM29" s="143"/>
      <c r="AN29" s="143"/>
      <c r="AO29" s="143"/>
      <c r="AP29" s="143"/>
      <c r="AQ29" s="143"/>
      <c r="AR29" s="143"/>
      <c r="AS29" s="143"/>
      <c r="AT29" s="298"/>
      <c r="AU29" s="294"/>
      <c r="AV29" s="296"/>
      <c r="AW29" s="298"/>
      <c r="AX29" s="298"/>
      <c r="AY29" s="59" t="s">
        <v>435</v>
      </c>
      <c r="AZ29" s="59" t="s">
        <v>453</v>
      </c>
    </row>
    <row r="30" spans="1:52" ht="96" customHeight="1" x14ac:dyDescent="0.35">
      <c r="A30" s="195"/>
      <c r="B30" s="195"/>
      <c r="C30" s="195"/>
      <c r="D30" s="216" t="s">
        <v>50</v>
      </c>
      <c r="E30" s="216" t="s">
        <v>51</v>
      </c>
      <c r="F30" s="276" t="s">
        <v>177</v>
      </c>
      <c r="G30" s="276" t="s">
        <v>178</v>
      </c>
      <c r="H30" s="276" t="s">
        <v>398</v>
      </c>
      <c r="I30" s="276" t="s">
        <v>398</v>
      </c>
      <c r="J30" s="216" t="s">
        <v>50</v>
      </c>
      <c r="K30" s="9" t="s">
        <v>237</v>
      </c>
      <c r="L30" s="39" t="s">
        <v>118</v>
      </c>
      <c r="M30" s="10" t="s">
        <v>153</v>
      </c>
      <c r="N30" s="14">
        <f>10+2</f>
        <v>12</v>
      </c>
      <c r="O30" s="192" t="s">
        <v>518</v>
      </c>
      <c r="P30" s="216" t="s">
        <v>399</v>
      </c>
      <c r="Q30" s="216" t="s">
        <v>399</v>
      </c>
      <c r="R30" s="129"/>
      <c r="S30" s="176">
        <f>100%</f>
        <v>1</v>
      </c>
      <c r="T30" s="354">
        <f>SUM(S30:S31)/(2)</f>
        <v>1</v>
      </c>
      <c r="U30" s="380">
        <f>T30</f>
        <v>1</v>
      </c>
      <c r="V30" s="199" t="s">
        <v>300</v>
      </c>
      <c r="W30" s="197" t="s">
        <v>301</v>
      </c>
      <c r="X30" s="304" t="s">
        <v>368</v>
      </c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6"/>
      <c r="AK30" s="197" t="s">
        <v>394</v>
      </c>
      <c r="AL30" s="108"/>
      <c r="AM30" s="108"/>
      <c r="AN30" s="108"/>
      <c r="AO30" s="108"/>
      <c r="AP30" s="108"/>
      <c r="AQ30" s="108"/>
      <c r="AR30" s="108"/>
      <c r="AS30" s="108"/>
      <c r="AT30" s="302">
        <v>0</v>
      </c>
      <c r="AU30" s="289">
        <v>0</v>
      </c>
      <c r="AV30" s="291">
        <v>0</v>
      </c>
      <c r="AW30" s="291">
        <v>0</v>
      </c>
      <c r="AX30" s="291">
        <v>0</v>
      </c>
      <c r="AY30" s="11"/>
      <c r="AZ30" s="11"/>
    </row>
    <row r="31" spans="1:52" ht="65.25" customHeight="1" x14ac:dyDescent="0.35">
      <c r="A31" s="195"/>
      <c r="B31" s="195"/>
      <c r="C31" s="195"/>
      <c r="D31" s="217"/>
      <c r="E31" s="217"/>
      <c r="F31" s="277"/>
      <c r="G31" s="277"/>
      <c r="H31" s="277"/>
      <c r="I31" s="277"/>
      <c r="J31" s="217"/>
      <c r="K31" s="9" t="s">
        <v>238</v>
      </c>
      <c r="L31" s="40" t="s">
        <v>119</v>
      </c>
      <c r="M31" s="10">
        <v>15</v>
      </c>
      <c r="N31" s="14">
        <f>24+71+35</f>
        <v>130</v>
      </c>
      <c r="O31" s="193"/>
      <c r="P31" s="217"/>
      <c r="Q31" s="217"/>
      <c r="R31" s="130"/>
      <c r="S31" s="177">
        <f>100%</f>
        <v>1</v>
      </c>
      <c r="T31" s="353"/>
      <c r="U31" s="381"/>
      <c r="V31" s="199"/>
      <c r="W31" s="197"/>
      <c r="X31" s="307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9"/>
      <c r="AK31" s="197"/>
      <c r="AL31" s="106"/>
      <c r="AM31" s="106"/>
      <c r="AN31" s="106"/>
      <c r="AO31" s="106"/>
      <c r="AP31" s="106"/>
      <c r="AQ31" s="106"/>
      <c r="AR31" s="106"/>
      <c r="AS31" s="106"/>
      <c r="AT31" s="303"/>
      <c r="AU31" s="290"/>
      <c r="AV31" s="292"/>
      <c r="AW31" s="292"/>
      <c r="AX31" s="292"/>
      <c r="AY31" s="11"/>
      <c r="AZ31" s="11"/>
    </row>
    <row r="32" spans="1:52" ht="132.75" customHeight="1" x14ac:dyDescent="0.35">
      <c r="A32" s="195"/>
      <c r="B32" s="195"/>
      <c r="C32" s="195"/>
      <c r="D32" s="275" t="s">
        <v>52</v>
      </c>
      <c r="E32" s="63" t="s">
        <v>53</v>
      </c>
      <c r="F32" s="282" t="s">
        <v>179</v>
      </c>
      <c r="G32" s="56" t="s">
        <v>180</v>
      </c>
      <c r="H32" s="71" t="s">
        <v>418</v>
      </c>
      <c r="I32" s="104" t="s">
        <v>460</v>
      </c>
      <c r="J32" s="275" t="s">
        <v>87</v>
      </c>
      <c r="K32" s="56" t="s">
        <v>239</v>
      </c>
      <c r="L32" s="63" t="s">
        <v>120</v>
      </c>
      <c r="M32" s="56" t="s">
        <v>278</v>
      </c>
      <c r="N32" s="78">
        <f>1231+570+262</f>
        <v>2063</v>
      </c>
      <c r="O32" s="78">
        <v>50</v>
      </c>
      <c r="P32" s="78">
        <v>376</v>
      </c>
      <c r="Q32" s="98">
        <v>0</v>
      </c>
      <c r="R32" s="178">
        <f>100%</f>
        <v>1</v>
      </c>
      <c r="S32" s="178">
        <f>100%</f>
        <v>1</v>
      </c>
      <c r="T32" s="355">
        <f>SUM(S32:S36)/(5)</f>
        <v>1</v>
      </c>
      <c r="U32" s="374">
        <f>T32</f>
        <v>1</v>
      </c>
      <c r="V32" s="219" t="s">
        <v>397</v>
      </c>
      <c r="W32" s="219" t="s">
        <v>350</v>
      </c>
      <c r="X32" s="236" t="s">
        <v>362</v>
      </c>
      <c r="Y32" s="236" t="s">
        <v>329</v>
      </c>
      <c r="Z32" s="236">
        <v>50</v>
      </c>
      <c r="AA32" s="236" t="s">
        <v>329</v>
      </c>
      <c r="AB32" s="236">
        <v>50</v>
      </c>
      <c r="AC32" s="236">
        <v>376</v>
      </c>
      <c r="AD32" s="236">
        <v>0</v>
      </c>
      <c r="AE32" s="117">
        <f>100%</f>
        <v>1</v>
      </c>
      <c r="AF32" s="211">
        <f>AE32</f>
        <v>1</v>
      </c>
      <c r="AG32" s="233">
        <f>AF32</f>
        <v>1</v>
      </c>
      <c r="AH32" s="236" t="s">
        <v>363</v>
      </c>
      <c r="AI32" s="265">
        <v>43831</v>
      </c>
      <c r="AJ32" s="265">
        <v>44196</v>
      </c>
      <c r="AK32" s="219" t="s">
        <v>358</v>
      </c>
      <c r="AL32" s="113" t="s">
        <v>509</v>
      </c>
      <c r="AM32" s="113" t="s">
        <v>480</v>
      </c>
      <c r="AN32" s="113" t="s">
        <v>510</v>
      </c>
      <c r="AO32" s="113">
        <v>47779827</v>
      </c>
      <c r="AP32" s="113">
        <v>16000000</v>
      </c>
      <c r="AQ32" s="113">
        <v>47779827</v>
      </c>
      <c r="AR32" s="113">
        <v>16000000</v>
      </c>
      <c r="AS32" s="145">
        <f>AR32/AQ32</f>
        <v>0.33486935814983171</v>
      </c>
      <c r="AT32" s="315">
        <v>47779827</v>
      </c>
      <c r="AU32" s="339" t="s">
        <v>389</v>
      </c>
      <c r="AV32" s="333" t="s">
        <v>388</v>
      </c>
      <c r="AW32" s="315">
        <v>16000000</v>
      </c>
      <c r="AX32" s="315">
        <v>16000000</v>
      </c>
      <c r="AY32" s="242" t="s">
        <v>436</v>
      </c>
      <c r="AZ32" s="242" t="s">
        <v>453</v>
      </c>
    </row>
    <row r="33" spans="1:52" ht="104.25" customHeight="1" x14ac:dyDescent="0.35">
      <c r="A33" s="195"/>
      <c r="B33" s="195"/>
      <c r="C33" s="195"/>
      <c r="D33" s="275"/>
      <c r="E33" s="63" t="s">
        <v>54</v>
      </c>
      <c r="F33" s="282"/>
      <c r="G33" s="56" t="s">
        <v>181</v>
      </c>
      <c r="H33" s="71" t="s">
        <v>153</v>
      </c>
      <c r="I33" s="104" t="s">
        <v>153</v>
      </c>
      <c r="J33" s="275"/>
      <c r="K33" s="56" t="s">
        <v>240</v>
      </c>
      <c r="L33" s="63" t="s">
        <v>121</v>
      </c>
      <c r="M33" s="83" t="s">
        <v>153</v>
      </c>
      <c r="N33" s="84">
        <f>68+50</f>
        <v>118</v>
      </c>
      <c r="O33" s="84" t="s">
        <v>403</v>
      </c>
      <c r="P33" s="79" t="s">
        <v>403</v>
      </c>
      <c r="Q33" s="79" t="s">
        <v>403</v>
      </c>
      <c r="R33" s="158"/>
      <c r="S33" s="174">
        <f>100%</f>
        <v>1</v>
      </c>
      <c r="T33" s="356"/>
      <c r="U33" s="375"/>
      <c r="V33" s="220"/>
      <c r="W33" s="220"/>
      <c r="X33" s="245"/>
      <c r="Y33" s="245"/>
      <c r="Z33" s="245"/>
      <c r="AA33" s="245"/>
      <c r="AB33" s="245"/>
      <c r="AC33" s="245"/>
      <c r="AD33" s="245"/>
      <c r="AE33" s="110"/>
      <c r="AF33" s="212"/>
      <c r="AG33" s="234"/>
      <c r="AH33" s="245"/>
      <c r="AI33" s="266"/>
      <c r="AJ33" s="266"/>
      <c r="AK33" s="220"/>
      <c r="AL33" s="114"/>
      <c r="AM33" s="114"/>
      <c r="AN33" s="114"/>
      <c r="AO33" s="114"/>
      <c r="AP33" s="114"/>
      <c r="AQ33" s="114"/>
      <c r="AR33" s="114"/>
      <c r="AS33" s="114"/>
      <c r="AT33" s="316"/>
      <c r="AU33" s="340"/>
      <c r="AV33" s="334"/>
      <c r="AW33" s="316"/>
      <c r="AX33" s="316"/>
      <c r="AY33" s="243"/>
      <c r="AZ33" s="243"/>
    </row>
    <row r="34" spans="1:52" ht="104" x14ac:dyDescent="0.35">
      <c r="A34" s="195"/>
      <c r="B34" s="195"/>
      <c r="C34" s="195"/>
      <c r="D34" s="275"/>
      <c r="E34" s="63" t="s">
        <v>55</v>
      </c>
      <c r="F34" s="282"/>
      <c r="G34" s="56" t="s">
        <v>182</v>
      </c>
      <c r="H34" s="71" t="s">
        <v>153</v>
      </c>
      <c r="I34" s="104" t="s">
        <v>153</v>
      </c>
      <c r="J34" s="275"/>
      <c r="K34" s="56" t="s">
        <v>241</v>
      </c>
      <c r="L34" s="63" t="s">
        <v>122</v>
      </c>
      <c r="M34" s="56" t="s">
        <v>153</v>
      </c>
      <c r="N34" s="78">
        <f>2+15+9</f>
        <v>26</v>
      </c>
      <c r="O34" s="78" t="s">
        <v>403</v>
      </c>
      <c r="P34" s="79" t="s">
        <v>403</v>
      </c>
      <c r="Q34" s="79" t="s">
        <v>403</v>
      </c>
      <c r="R34" s="158"/>
      <c r="S34" s="174">
        <f>100%</f>
        <v>1</v>
      </c>
      <c r="T34" s="356"/>
      <c r="U34" s="375"/>
      <c r="V34" s="220"/>
      <c r="W34" s="220"/>
      <c r="X34" s="245"/>
      <c r="Y34" s="245"/>
      <c r="Z34" s="245"/>
      <c r="AA34" s="245"/>
      <c r="AB34" s="245"/>
      <c r="AC34" s="245"/>
      <c r="AD34" s="245"/>
      <c r="AE34" s="110"/>
      <c r="AF34" s="212"/>
      <c r="AG34" s="234"/>
      <c r="AH34" s="245"/>
      <c r="AI34" s="266"/>
      <c r="AJ34" s="266"/>
      <c r="AK34" s="220"/>
      <c r="AL34" s="114"/>
      <c r="AM34" s="114"/>
      <c r="AN34" s="114"/>
      <c r="AO34" s="114"/>
      <c r="AP34" s="114"/>
      <c r="AQ34" s="114"/>
      <c r="AR34" s="114"/>
      <c r="AS34" s="114"/>
      <c r="AT34" s="316"/>
      <c r="AU34" s="340"/>
      <c r="AV34" s="334"/>
      <c r="AW34" s="316"/>
      <c r="AX34" s="316"/>
      <c r="AY34" s="243"/>
      <c r="AZ34" s="243"/>
    </row>
    <row r="35" spans="1:52" ht="60" customHeight="1" x14ac:dyDescent="0.35">
      <c r="A35" s="195"/>
      <c r="B35" s="195"/>
      <c r="C35" s="195"/>
      <c r="D35" s="275"/>
      <c r="E35" s="218" t="s">
        <v>56</v>
      </c>
      <c r="F35" s="282"/>
      <c r="G35" s="222" t="s">
        <v>183</v>
      </c>
      <c r="H35" s="222" t="s">
        <v>153</v>
      </c>
      <c r="I35" s="222" t="s">
        <v>153</v>
      </c>
      <c r="J35" s="275"/>
      <c r="K35" s="56" t="s">
        <v>242</v>
      </c>
      <c r="L35" s="63" t="s">
        <v>123</v>
      </c>
      <c r="M35" s="56" t="s">
        <v>153</v>
      </c>
      <c r="N35" s="78">
        <f>14+10+5</f>
        <v>29</v>
      </c>
      <c r="O35" s="78" t="s">
        <v>403</v>
      </c>
      <c r="P35" s="79" t="s">
        <v>403</v>
      </c>
      <c r="Q35" s="79" t="s">
        <v>403</v>
      </c>
      <c r="R35" s="158"/>
      <c r="S35" s="174">
        <f>100%</f>
        <v>1</v>
      </c>
      <c r="T35" s="356"/>
      <c r="U35" s="375"/>
      <c r="V35" s="220"/>
      <c r="W35" s="220"/>
      <c r="X35" s="245"/>
      <c r="Y35" s="245"/>
      <c r="Z35" s="245"/>
      <c r="AA35" s="245"/>
      <c r="AB35" s="245"/>
      <c r="AC35" s="245"/>
      <c r="AD35" s="245"/>
      <c r="AE35" s="110"/>
      <c r="AF35" s="212"/>
      <c r="AG35" s="234"/>
      <c r="AH35" s="245"/>
      <c r="AI35" s="266"/>
      <c r="AJ35" s="266"/>
      <c r="AK35" s="220"/>
      <c r="AL35" s="114"/>
      <c r="AM35" s="114"/>
      <c r="AN35" s="114"/>
      <c r="AO35" s="114"/>
      <c r="AP35" s="114"/>
      <c r="AQ35" s="114"/>
      <c r="AR35" s="114"/>
      <c r="AS35" s="114"/>
      <c r="AT35" s="316"/>
      <c r="AU35" s="340"/>
      <c r="AV35" s="334"/>
      <c r="AW35" s="316"/>
      <c r="AX35" s="316"/>
      <c r="AY35" s="243"/>
      <c r="AZ35" s="243"/>
    </row>
    <row r="36" spans="1:52" ht="54" customHeight="1" x14ac:dyDescent="0.35">
      <c r="A36" s="195"/>
      <c r="B36" s="195"/>
      <c r="C36" s="195"/>
      <c r="D36" s="275"/>
      <c r="E36" s="218"/>
      <c r="F36" s="282"/>
      <c r="G36" s="223"/>
      <c r="H36" s="223"/>
      <c r="I36" s="223"/>
      <c r="J36" s="275"/>
      <c r="K36" s="56" t="s">
        <v>243</v>
      </c>
      <c r="L36" s="63" t="s">
        <v>124</v>
      </c>
      <c r="M36" s="56" t="s">
        <v>279</v>
      </c>
      <c r="N36" s="78">
        <f>1+6+4</f>
        <v>11</v>
      </c>
      <c r="O36" s="78" t="s">
        <v>403</v>
      </c>
      <c r="P36" s="79" t="s">
        <v>403</v>
      </c>
      <c r="Q36" s="79" t="s">
        <v>403</v>
      </c>
      <c r="R36" s="159"/>
      <c r="S36" s="179">
        <f>100%</f>
        <v>1</v>
      </c>
      <c r="T36" s="366"/>
      <c r="U36" s="376"/>
      <c r="V36" s="241"/>
      <c r="W36" s="241"/>
      <c r="X36" s="237"/>
      <c r="Y36" s="237"/>
      <c r="Z36" s="237"/>
      <c r="AA36" s="237"/>
      <c r="AB36" s="237"/>
      <c r="AC36" s="237"/>
      <c r="AD36" s="237"/>
      <c r="AE36" s="111"/>
      <c r="AF36" s="213"/>
      <c r="AG36" s="235"/>
      <c r="AH36" s="237"/>
      <c r="AI36" s="267"/>
      <c r="AJ36" s="267"/>
      <c r="AK36" s="241"/>
      <c r="AL36" s="116"/>
      <c r="AM36" s="116"/>
      <c r="AN36" s="116"/>
      <c r="AO36" s="116"/>
      <c r="AP36" s="116"/>
      <c r="AQ36" s="116"/>
      <c r="AR36" s="116"/>
      <c r="AS36" s="116"/>
      <c r="AT36" s="317"/>
      <c r="AU36" s="341"/>
      <c r="AV36" s="335"/>
      <c r="AW36" s="317"/>
      <c r="AX36" s="317"/>
      <c r="AY36" s="244"/>
      <c r="AZ36" s="244"/>
    </row>
    <row r="37" spans="1:52" ht="132" customHeight="1" x14ac:dyDescent="0.35">
      <c r="A37" s="195"/>
      <c r="B37" s="195"/>
      <c r="C37" s="195"/>
      <c r="D37" s="275"/>
      <c r="E37" s="48" t="s">
        <v>57</v>
      </c>
      <c r="F37" s="50" t="s">
        <v>184</v>
      </c>
      <c r="G37" s="50" t="s">
        <v>185</v>
      </c>
      <c r="H37" s="50" t="s">
        <v>410</v>
      </c>
      <c r="I37" s="103" t="s">
        <v>410</v>
      </c>
      <c r="J37" s="49" t="s">
        <v>88</v>
      </c>
      <c r="K37" s="50" t="s">
        <v>244</v>
      </c>
      <c r="L37" s="48" t="s">
        <v>125</v>
      </c>
      <c r="M37" s="51" t="s">
        <v>280</v>
      </c>
      <c r="N37" s="51">
        <v>3</v>
      </c>
      <c r="O37" s="51" t="s">
        <v>518</v>
      </c>
      <c r="P37" s="51" t="s">
        <v>399</v>
      </c>
      <c r="Q37" s="51" t="s">
        <v>399</v>
      </c>
      <c r="R37" s="51"/>
      <c r="S37" s="180">
        <f>N37/4</f>
        <v>0.75</v>
      </c>
      <c r="T37" s="186">
        <f>S37</f>
        <v>0.75</v>
      </c>
      <c r="U37" s="186">
        <f>T37</f>
        <v>0.75</v>
      </c>
      <c r="V37" s="48"/>
      <c r="W37" s="48"/>
      <c r="X37" s="249" t="s">
        <v>369</v>
      </c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1"/>
      <c r="AK37" s="48"/>
      <c r="AL37" s="107"/>
      <c r="AM37" s="107"/>
      <c r="AN37" s="107"/>
      <c r="AO37" s="107"/>
      <c r="AP37" s="107"/>
      <c r="AQ37" s="107"/>
      <c r="AR37" s="107"/>
      <c r="AS37" s="107"/>
      <c r="AT37" s="85">
        <v>0</v>
      </c>
      <c r="AU37" s="86">
        <v>0</v>
      </c>
      <c r="AV37" s="87">
        <v>0</v>
      </c>
      <c r="AW37" s="87">
        <v>0</v>
      </c>
      <c r="AX37" s="87">
        <v>0</v>
      </c>
      <c r="AY37" s="21"/>
      <c r="AZ37" s="21"/>
    </row>
    <row r="38" spans="1:52" ht="104" x14ac:dyDescent="0.35">
      <c r="A38" s="195"/>
      <c r="B38" s="195"/>
      <c r="C38" s="195"/>
      <c r="D38" s="275" t="s">
        <v>58</v>
      </c>
      <c r="E38" s="63" t="s">
        <v>59</v>
      </c>
      <c r="F38" s="56" t="s">
        <v>186</v>
      </c>
      <c r="G38" s="56" t="s">
        <v>153</v>
      </c>
      <c r="H38" s="91" t="s">
        <v>153</v>
      </c>
      <c r="I38" s="104" t="s">
        <v>153</v>
      </c>
      <c r="J38" s="275" t="s">
        <v>89</v>
      </c>
      <c r="K38" s="56" t="s">
        <v>245</v>
      </c>
      <c r="L38" s="63" t="s">
        <v>126</v>
      </c>
      <c r="M38" s="56" t="s">
        <v>153</v>
      </c>
      <c r="N38" s="64">
        <v>1</v>
      </c>
      <c r="O38" s="64" t="s">
        <v>403</v>
      </c>
      <c r="P38" s="64" t="s">
        <v>440</v>
      </c>
      <c r="Q38" s="64" t="s">
        <v>440</v>
      </c>
      <c r="R38" s="64"/>
      <c r="S38" s="170">
        <f>N38/1</f>
        <v>1</v>
      </c>
      <c r="T38" s="360">
        <f>SUM(S38:S48)/(11)</f>
        <v>0.54886266817184504</v>
      </c>
      <c r="U38" s="382">
        <f>T38</f>
        <v>0.54886266817184504</v>
      </c>
      <c r="V38" s="218" t="s">
        <v>302</v>
      </c>
      <c r="W38" s="218" t="s">
        <v>303</v>
      </c>
      <c r="X38" s="59" t="s">
        <v>316</v>
      </c>
      <c r="Y38" s="59" t="s">
        <v>317</v>
      </c>
      <c r="Z38" s="70">
        <v>5</v>
      </c>
      <c r="AA38" s="79" t="s">
        <v>317</v>
      </c>
      <c r="AB38" s="70">
        <v>5</v>
      </c>
      <c r="AC38" s="70">
        <v>1</v>
      </c>
      <c r="AD38" s="121">
        <v>1</v>
      </c>
      <c r="AE38" s="137">
        <f>(AD38+AC38)/AB38</f>
        <v>0.4</v>
      </c>
      <c r="AF38" s="208">
        <f>SUM(AE38:AE48)/(11)</f>
        <v>0.25818181818181818</v>
      </c>
      <c r="AG38" s="252">
        <f>AF38</f>
        <v>0.25818181818181818</v>
      </c>
      <c r="AH38" s="59" t="s">
        <v>341</v>
      </c>
      <c r="AI38" s="61">
        <v>43831</v>
      </c>
      <c r="AJ38" s="61">
        <v>44196</v>
      </c>
      <c r="AK38" s="218" t="s">
        <v>358</v>
      </c>
      <c r="AL38" s="112" t="s">
        <v>511</v>
      </c>
      <c r="AM38" s="112" t="s">
        <v>480</v>
      </c>
      <c r="AN38" s="112" t="s">
        <v>512</v>
      </c>
      <c r="AO38" s="112">
        <v>84137369</v>
      </c>
      <c r="AP38" s="112">
        <v>77000000</v>
      </c>
      <c r="AQ38" s="112">
        <v>84137369</v>
      </c>
      <c r="AR38" s="112">
        <v>77000000</v>
      </c>
      <c r="AS38" s="147">
        <f>AR38/AQ38</f>
        <v>0.91517004768713417</v>
      </c>
      <c r="AT38" s="318">
        <v>84137369</v>
      </c>
      <c r="AU38" s="343" t="s">
        <v>391</v>
      </c>
      <c r="AV38" s="344" t="s">
        <v>337</v>
      </c>
      <c r="AW38" s="318">
        <v>0</v>
      </c>
      <c r="AX38" s="318">
        <v>77000000</v>
      </c>
      <c r="AY38" s="59" t="s">
        <v>437</v>
      </c>
      <c r="AZ38" s="59" t="s">
        <v>469</v>
      </c>
    </row>
    <row r="39" spans="1:52" ht="150.75" customHeight="1" x14ac:dyDescent="0.35">
      <c r="A39" s="195"/>
      <c r="B39" s="195"/>
      <c r="C39" s="195"/>
      <c r="D39" s="275"/>
      <c r="E39" s="63" t="s">
        <v>348</v>
      </c>
      <c r="F39" s="56" t="s">
        <v>187</v>
      </c>
      <c r="G39" s="56" t="s">
        <v>188</v>
      </c>
      <c r="H39" s="79" t="s">
        <v>403</v>
      </c>
      <c r="I39" s="79" t="s">
        <v>403</v>
      </c>
      <c r="J39" s="275"/>
      <c r="K39" s="56" t="s">
        <v>246</v>
      </c>
      <c r="L39" s="63" t="s">
        <v>127</v>
      </c>
      <c r="M39" s="56" t="s">
        <v>353</v>
      </c>
      <c r="N39" s="64" t="s">
        <v>354</v>
      </c>
      <c r="O39" s="64" t="s">
        <v>403</v>
      </c>
      <c r="P39" s="79" t="s">
        <v>403</v>
      </c>
      <c r="Q39" s="79" t="s">
        <v>403</v>
      </c>
      <c r="R39" s="79"/>
      <c r="S39" s="181">
        <f>0%</f>
        <v>0</v>
      </c>
      <c r="T39" s="361"/>
      <c r="U39" s="383"/>
      <c r="V39" s="218"/>
      <c r="W39" s="218"/>
      <c r="X39" s="211" t="s">
        <v>330</v>
      </c>
      <c r="Y39" s="236" t="s">
        <v>373</v>
      </c>
      <c r="Z39" s="242">
        <v>50</v>
      </c>
      <c r="AA39" s="236" t="s">
        <v>373</v>
      </c>
      <c r="AB39" s="242">
        <v>50</v>
      </c>
      <c r="AC39" s="242">
        <v>10</v>
      </c>
      <c r="AD39" s="242">
        <v>12</v>
      </c>
      <c r="AE39" s="137">
        <f>(AD39+AC39)/(AB39)</f>
        <v>0.44</v>
      </c>
      <c r="AF39" s="209"/>
      <c r="AG39" s="253"/>
      <c r="AH39" s="236" t="s">
        <v>405</v>
      </c>
      <c r="AI39" s="246">
        <v>43831</v>
      </c>
      <c r="AJ39" s="246">
        <v>44196</v>
      </c>
      <c r="AK39" s="218"/>
      <c r="AL39" s="112"/>
      <c r="AM39" s="112"/>
      <c r="AN39" s="112"/>
      <c r="AO39" s="112"/>
      <c r="AP39" s="112"/>
      <c r="AQ39" s="112"/>
      <c r="AR39" s="112"/>
      <c r="AS39" s="112"/>
      <c r="AT39" s="318"/>
      <c r="AU39" s="343"/>
      <c r="AV39" s="344"/>
      <c r="AW39" s="318"/>
      <c r="AX39" s="318"/>
      <c r="AY39" s="236" t="s">
        <v>438</v>
      </c>
      <c r="AZ39" s="236" t="s">
        <v>464</v>
      </c>
    </row>
    <row r="40" spans="1:52" ht="107.25" customHeight="1" x14ac:dyDescent="0.35">
      <c r="A40" s="195"/>
      <c r="B40" s="195"/>
      <c r="C40" s="195"/>
      <c r="D40" s="275"/>
      <c r="E40" s="63" t="s">
        <v>60</v>
      </c>
      <c r="F40" s="56" t="s">
        <v>189</v>
      </c>
      <c r="G40" s="91" t="s">
        <v>423</v>
      </c>
      <c r="H40" s="95">
        <f>10*100/302</f>
        <v>3.3112582781456954</v>
      </c>
      <c r="I40" s="95">
        <f>12*100/302</f>
        <v>3.9735099337748343</v>
      </c>
      <c r="J40" s="275"/>
      <c r="K40" s="56" t="s">
        <v>247</v>
      </c>
      <c r="L40" s="63" t="s">
        <v>128</v>
      </c>
      <c r="M40" s="56" t="s">
        <v>281</v>
      </c>
      <c r="N40" s="64">
        <f>487+220+252</f>
        <v>959</v>
      </c>
      <c r="O40" s="64">
        <v>50</v>
      </c>
      <c r="P40" s="64">
        <v>10</v>
      </c>
      <c r="Q40" s="64">
        <v>12</v>
      </c>
      <c r="R40" s="170">
        <f>22/O40</f>
        <v>0.44</v>
      </c>
      <c r="S40" s="170">
        <f>N40/1261</f>
        <v>0.76050753370340995</v>
      </c>
      <c r="T40" s="361"/>
      <c r="U40" s="383"/>
      <c r="V40" s="218"/>
      <c r="W40" s="218"/>
      <c r="X40" s="213"/>
      <c r="Y40" s="237"/>
      <c r="Z40" s="244"/>
      <c r="AA40" s="237"/>
      <c r="AB40" s="244"/>
      <c r="AC40" s="244"/>
      <c r="AD40" s="244"/>
      <c r="AE40" s="137"/>
      <c r="AF40" s="209"/>
      <c r="AG40" s="253"/>
      <c r="AH40" s="237"/>
      <c r="AI40" s="248"/>
      <c r="AJ40" s="248"/>
      <c r="AK40" s="218"/>
      <c r="AL40" s="112"/>
      <c r="AM40" s="112"/>
      <c r="AN40" s="112"/>
      <c r="AO40" s="112"/>
      <c r="AP40" s="112"/>
      <c r="AQ40" s="112"/>
      <c r="AR40" s="112"/>
      <c r="AS40" s="112"/>
      <c r="AT40" s="318"/>
      <c r="AU40" s="343"/>
      <c r="AV40" s="344"/>
      <c r="AW40" s="318"/>
      <c r="AX40" s="318"/>
      <c r="AY40" s="237"/>
      <c r="AZ40" s="237"/>
    </row>
    <row r="41" spans="1:52" ht="141" customHeight="1" x14ac:dyDescent="0.35">
      <c r="A41" s="195"/>
      <c r="B41" s="195"/>
      <c r="C41" s="195"/>
      <c r="D41" s="275"/>
      <c r="E41" s="63" t="s">
        <v>61</v>
      </c>
      <c r="F41" s="56" t="s">
        <v>190</v>
      </c>
      <c r="G41" s="56" t="s">
        <v>191</v>
      </c>
      <c r="H41" s="56">
        <v>0</v>
      </c>
      <c r="I41" s="97">
        <v>0</v>
      </c>
      <c r="J41" s="275"/>
      <c r="K41" s="56" t="s">
        <v>248</v>
      </c>
      <c r="L41" s="63" t="s">
        <v>129</v>
      </c>
      <c r="M41" s="56" t="s">
        <v>282</v>
      </c>
      <c r="N41" s="88">
        <f>657+235</f>
        <v>892</v>
      </c>
      <c r="O41" s="88">
        <v>50</v>
      </c>
      <c r="P41" s="92" t="s">
        <v>426</v>
      </c>
      <c r="Q41" s="102" t="s">
        <v>426</v>
      </c>
      <c r="R41" s="122"/>
      <c r="S41" s="182">
        <f>N41/2156</f>
        <v>0.4137291280148423</v>
      </c>
      <c r="T41" s="361"/>
      <c r="U41" s="383"/>
      <c r="V41" s="218"/>
      <c r="W41" s="218"/>
      <c r="X41" s="59" t="s">
        <v>390</v>
      </c>
      <c r="Y41" s="59" t="s">
        <v>331</v>
      </c>
      <c r="Z41" s="89">
        <v>50</v>
      </c>
      <c r="AA41" s="59" t="s">
        <v>331</v>
      </c>
      <c r="AB41" s="89">
        <v>50</v>
      </c>
      <c r="AC41" s="89">
        <v>0</v>
      </c>
      <c r="AD41" s="89">
        <v>0</v>
      </c>
      <c r="AE41" s="137">
        <f t="shared" ref="AE41:AE42" si="1">AD41/AB41</f>
        <v>0</v>
      </c>
      <c r="AF41" s="209"/>
      <c r="AG41" s="253"/>
      <c r="AH41" s="59" t="s">
        <v>406</v>
      </c>
      <c r="AI41" s="90">
        <v>43831</v>
      </c>
      <c r="AJ41" s="90">
        <v>44196</v>
      </c>
      <c r="AK41" s="218"/>
      <c r="AL41" s="112"/>
      <c r="AM41" s="112"/>
      <c r="AN41" s="112"/>
      <c r="AO41" s="112"/>
      <c r="AP41" s="112"/>
      <c r="AQ41" s="112"/>
      <c r="AR41" s="112"/>
      <c r="AS41" s="112"/>
      <c r="AT41" s="318"/>
      <c r="AU41" s="343"/>
      <c r="AV41" s="344"/>
      <c r="AW41" s="318"/>
      <c r="AX41" s="318"/>
      <c r="AY41" s="59" t="s">
        <v>426</v>
      </c>
      <c r="AZ41" s="59" t="s">
        <v>426</v>
      </c>
    </row>
    <row r="42" spans="1:52" ht="111.75" customHeight="1" x14ac:dyDescent="0.35">
      <c r="A42" s="195"/>
      <c r="B42" s="195"/>
      <c r="C42" s="195"/>
      <c r="D42" s="275"/>
      <c r="E42" s="218" t="s">
        <v>62</v>
      </c>
      <c r="F42" s="222" t="s">
        <v>192</v>
      </c>
      <c r="G42" s="222" t="s">
        <v>193</v>
      </c>
      <c r="H42" s="222" t="s">
        <v>424</v>
      </c>
      <c r="I42" s="222" t="s">
        <v>424</v>
      </c>
      <c r="J42" s="275"/>
      <c r="K42" s="56" t="s">
        <v>249</v>
      </c>
      <c r="L42" s="63" t="s">
        <v>130</v>
      </c>
      <c r="M42" s="56" t="s">
        <v>283</v>
      </c>
      <c r="N42" s="88">
        <f>742+390</f>
        <v>1132</v>
      </c>
      <c r="O42" s="88">
        <v>50</v>
      </c>
      <c r="P42" s="88" t="s">
        <v>424</v>
      </c>
      <c r="Q42" s="88" t="s">
        <v>424</v>
      </c>
      <c r="R42" s="88"/>
      <c r="S42" s="169">
        <f>N42/1488</f>
        <v>0.760752688172043</v>
      </c>
      <c r="T42" s="361"/>
      <c r="U42" s="383"/>
      <c r="V42" s="218"/>
      <c r="W42" s="218"/>
      <c r="X42" s="59" t="s">
        <v>371</v>
      </c>
      <c r="Y42" s="59" t="s">
        <v>332</v>
      </c>
      <c r="Z42" s="89">
        <v>50</v>
      </c>
      <c r="AA42" s="59" t="s">
        <v>332</v>
      </c>
      <c r="AB42" s="89">
        <v>50</v>
      </c>
      <c r="AC42" s="59">
        <v>0</v>
      </c>
      <c r="AD42" s="59">
        <v>0</v>
      </c>
      <c r="AE42" s="137">
        <f t="shared" si="1"/>
        <v>0</v>
      </c>
      <c r="AF42" s="209"/>
      <c r="AG42" s="253"/>
      <c r="AH42" s="59" t="s">
        <v>407</v>
      </c>
      <c r="AI42" s="90">
        <v>43831</v>
      </c>
      <c r="AJ42" s="90">
        <v>44196</v>
      </c>
      <c r="AK42" s="218"/>
      <c r="AL42" s="112"/>
      <c r="AM42" s="112"/>
      <c r="AN42" s="112"/>
      <c r="AO42" s="112"/>
      <c r="AP42" s="112"/>
      <c r="AQ42" s="112"/>
      <c r="AR42" s="112"/>
      <c r="AS42" s="112"/>
      <c r="AT42" s="318"/>
      <c r="AU42" s="343"/>
      <c r="AV42" s="344"/>
      <c r="AW42" s="318"/>
      <c r="AX42" s="318"/>
      <c r="AY42" s="59" t="s">
        <v>424</v>
      </c>
      <c r="AZ42" s="59" t="s">
        <v>424</v>
      </c>
    </row>
    <row r="43" spans="1:52" ht="113.25" customHeight="1" x14ac:dyDescent="0.35">
      <c r="A43" s="195"/>
      <c r="B43" s="195"/>
      <c r="C43" s="195"/>
      <c r="D43" s="275"/>
      <c r="E43" s="218"/>
      <c r="F43" s="223"/>
      <c r="G43" s="223"/>
      <c r="H43" s="223"/>
      <c r="I43" s="223"/>
      <c r="J43" s="275"/>
      <c r="K43" s="56" t="s">
        <v>250</v>
      </c>
      <c r="L43" s="63" t="s">
        <v>131</v>
      </c>
      <c r="M43" s="56" t="s">
        <v>153</v>
      </c>
      <c r="N43" s="64">
        <v>41</v>
      </c>
      <c r="O43" s="64">
        <v>50</v>
      </c>
      <c r="P43" s="64" t="s">
        <v>424</v>
      </c>
      <c r="Q43" s="64" t="s">
        <v>424</v>
      </c>
      <c r="R43" s="64"/>
      <c r="S43" s="170">
        <f>N43/400</f>
        <v>0.10249999999999999</v>
      </c>
      <c r="T43" s="361"/>
      <c r="U43" s="383"/>
      <c r="V43" s="218"/>
      <c r="W43" s="218"/>
      <c r="X43" s="59" t="s">
        <v>372</v>
      </c>
      <c r="Y43" s="59" t="s">
        <v>333</v>
      </c>
      <c r="Z43" s="89">
        <v>50</v>
      </c>
      <c r="AA43" s="59" t="s">
        <v>333</v>
      </c>
      <c r="AB43" s="89">
        <v>50</v>
      </c>
      <c r="AC43" s="59">
        <v>0</v>
      </c>
      <c r="AD43" s="59">
        <v>0</v>
      </c>
      <c r="AE43" s="137">
        <f>AD43/AB43</f>
        <v>0</v>
      </c>
      <c r="AF43" s="209"/>
      <c r="AG43" s="253"/>
      <c r="AH43" s="59" t="s">
        <v>408</v>
      </c>
      <c r="AI43" s="90">
        <v>43831</v>
      </c>
      <c r="AJ43" s="90">
        <v>44196</v>
      </c>
      <c r="AK43" s="218"/>
      <c r="AL43" s="112"/>
      <c r="AM43" s="112"/>
      <c r="AN43" s="112"/>
      <c r="AO43" s="112"/>
      <c r="AP43" s="112"/>
      <c r="AQ43" s="112"/>
      <c r="AR43" s="112"/>
      <c r="AS43" s="112"/>
      <c r="AT43" s="318"/>
      <c r="AU43" s="343"/>
      <c r="AV43" s="344"/>
      <c r="AW43" s="318"/>
      <c r="AX43" s="318"/>
      <c r="AY43" s="59" t="s">
        <v>424</v>
      </c>
      <c r="AZ43" s="59" t="s">
        <v>424</v>
      </c>
    </row>
    <row r="44" spans="1:52" ht="142.5" customHeight="1" x14ac:dyDescent="0.35">
      <c r="A44" s="195"/>
      <c r="B44" s="195"/>
      <c r="C44" s="195"/>
      <c r="D44" s="275"/>
      <c r="E44" s="63" t="s">
        <v>63</v>
      </c>
      <c r="F44" s="56" t="s">
        <v>194</v>
      </c>
      <c r="G44" s="56" t="s">
        <v>195</v>
      </c>
      <c r="H44" s="91" t="s">
        <v>425</v>
      </c>
      <c r="I44" s="104" t="s">
        <v>425</v>
      </c>
      <c r="J44" s="275"/>
      <c r="K44" s="56" t="s">
        <v>251</v>
      </c>
      <c r="L44" s="63" t="s">
        <v>132</v>
      </c>
      <c r="M44" s="56" t="s">
        <v>284</v>
      </c>
      <c r="N44" s="88">
        <f>2429+4170+736</f>
        <v>7335</v>
      </c>
      <c r="O44" s="88">
        <v>100</v>
      </c>
      <c r="P44" s="88">
        <v>96</v>
      </c>
      <c r="Q44" s="88">
        <v>18</v>
      </c>
      <c r="R44" s="169">
        <f>100%</f>
        <v>1</v>
      </c>
      <c r="S44" s="169">
        <f>100%</f>
        <v>1</v>
      </c>
      <c r="T44" s="361"/>
      <c r="U44" s="383"/>
      <c r="V44" s="218"/>
      <c r="W44" s="218"/>
      <c r="X44" s="59" t="s">
        <v>349</v>
      </c>
      <c r="Y44" s="59" t="s">
        <v>251</v>
      </c>
      <c r="Z44" s="89">
        <v>100</v>
      </c>
      <c r="AA44" s="59" t="s">
        <v>251</v>
      </c>
      <c r="AB44" s="89">
        <v>100</v>
      </c>
      <c r="AC44" s="89">
        <v>96</v>
      </c>
      <c r="AD44" s="89">
        <v>18</v>
      </c>
      <c r="AE44" s="137">
        <f>100%</f>
        <v>1</v>
      </c>
      <c r="AF44" s="209"/>
      <c r="AG44" s="253"/>
      <c r="AH44" s="59" t="s">
        <v>409</v>
      </c>
      <c r="AI44" s="90">
        <v>43831</v>
      </c>
      <c r="AJ44" s="90">
        <v>44196</v>
      </c>
      <c r="AK44" s="218"/>
      <c r="AL44" s="112"/>
      <c r="AM44" s="112"/>
      <c r="AN44" s="112"/>
      <c r="AO44" s="112"/>
      <c r="AP44" s="112"/>
      <c r="AQ44" s="112"/>
      <c r="AR44" s="112"/>
      <c r="AS44" s="112"/>
      <c r="AT44" s="318"/>
      <c r="AU44" s="343"/>
      <c r="AV44" s="344"/>
      <c r="AW44" s="318"/>
      <c r="AX44" s="318"/>
      <c r="AY44" s="59" t="s">
        <v>439</v>
      </c>
      <c r="AZ44" s="59" t="s">
        <v>439</v>
      </c>
    </row>
    <row r="45" spans="1:52" ht="129.75" customHeight="1" x14ac:dyDescent="0.35">
      <c r="A45" s="195"/>
      <c r="B45" s="195"/>
      <c r="C45" s="195"/>
      <c r="D45" s="275"/>
      <c r="E45" s="63" t="s">
        <v>64</v>
      </c>
      <c r="F45" s="56" t="s">
        <v>196</v>
      </c>
      <c r="G45" s="56">
        <v>0</v>
      </c>
      <c r="H45" s="79" t="s">
        <v>403</v>
      </c>
      <c r="I45" s="79" t="s">
        <v>403</v>
      </c>
      <c r="J45" s="275"/>
      <c r="K45" s="56" t="s">
        <v>252</v>
      </c>
      <c r="L45" s="63" t="s">
        <v>133</v>
      </c>
      <c r="M45" s="56" t="s">
        <v>153</v>
      </c>
      <c r="N45" s="66">
        <v>0</v>
      </c>
      <c r="O45" s="66" t="s">
        <v>403</v>
      </c>
      <c r="P45" s="79" t="s">
        <v>403</v>
      </c>
      <c r="Q45" s="79" t="s">
        <v>403</v>
      </c>
      <c r="R45" s="79"/>
      <c r="S45" s="181">
        <f>N45/1</f>
        <v>0</v>
      </c>
      <c r="T45" s="361"/>
      <c r="U45" s="383"/>
      <c r="V45" s="218"/>
      <c r="W45" s="218"/>
      <c r="X45" s="236" t="s">
        <v>335</v>
      </c>
      <c r="Y45" s="236" t="s">
        <v>334</v>
      </c>
      <c r="Z45" s="242">
        <v>22</v>
      </c>
      <c r="AA45" s="236" t="s">
        <v>334</v>
      </c>
      <c r="AB45" s="242">
        <v>22</v>
      </c>
      <c r="AC45" s="242">
        <v>0</v>
      </c>
      <c r="AD45" s="242">
        <v>24</v>
      </c>
      <c r="AE45" s="137">
        <f>100%</f>
        <v>1</v>
      </c>
      <c r="AF45" s="209"/>
      <c r="AG45" s="253"/>
      <c r="AH45" s="236" t="s">
        <v>342</v>
      </c>
      <c r="AI45" s="246">
        <v>43831</v>
      </c>
      <c r="AJ45" s="265">
        <v>44196</v>
      </c>
      <c r="AK45" s="218"/>
      <c r="AL45" s="112"/>
      <c r="AM45" s="112"/>
      <c r="AN45" s="112"/>
      <c r="AO45" s="112"/>
      <c r="AP45" s="112"/>
      <c r="AQ45" s="112"/>
      <c r="AR45" s="112"/>
      <c r="AS45" s="112"/>
      <c r="AT45" s="318"/>
      <c r="AU45" s="343"/>
      <c r="AV45" s="344"/>
      <c r="AW45" s="318"/>
      <c r="AX45" s="318"/>
      <c r="AY45" s="236"/>
      <c r="AZ45" s="236" t="s">
        <v>466</v>
      </c>
    </row>
    <row r="46" spans="1:52" ht="102.75" customHeight="1" x14ac:dyDescent="0.35">
      <c r="A46" s="195"/>
      <c r="B46" s="195"/>
      <c r="C46" s="195"/>
      <c r="D46" s="275"/>
      <c r="E46" s="63" t="s">
        <v>65</v>
      </c>
      <c r="F46" s="56" t="s">
        <v>197</v>
      </c>
      <c r="G46" s="56" t="s">
        <v>198</v>
      </c>
      <c r="H46" s="91">
        <v>0</v>
      </c>
      <c r="I46" s="104">
        <v>24</v>
      </c>
      <c r="J46" s="275"/>
      <c r="K46" s="56" t="s">
        <v>253</v>
      </c>
      <c r="L46" s="63" t="s">
        <v>134</v>
      </c>
      <c r="M46" s="56">
        <v>0</v>
      </c>
      <c r="N46" s="63" t="s">
        <v>310</v>
      </c>
      <c r="O46" s="153">
        <v>22</v>
      </c>
      <c r="P46" s="92">
        <v>0</v>
      </c>
      <c r="Q46" s="102">
        <v>24</v>
      </c>
      <c r="R46" s="182">
        <f>100%</f>
        <v>1</v>
      </c>
      <c r="S46" s="182">
        <f>22/22</f>
        <v>1</v>
      </c>
      <c r="T46" s="361"/>
      <c r="U46" s="383"/>
      <c r="V46" s="218"/>
      <c r="W46" s="218"/>
      <c r="X46" s="245"/>
      <c r="Y46" s="245"/>
      <c r="Z46" s="243"/>
      <c r="AA46" s="245"/>
      <c r="AB46" s="243"/>
      <c r="AC46" s="243"/>
      <c r="AD46" s="243"/>
      <c r="AE46" s="137"/>
      <c r="AF46" s="209"/>
      <c r="AG46" s="253"/>
      <c r="AH46" s="245"/>
      <c r="AI46" s="247"/>
      <c r="AJ46" s="266"/>
      <c r="AK46" s="218"/>
      <c r="AL46" s="112"/>
      <c r="AM46" s="112"/>
      <c r="AN46" s="112"/>
      <c r="AO46" s="112"/>
      <c r="AP46" s="112"/>
      <c r="AQ46" s="112"/>
      <c r="AR46" s="112"/>
      <c r="AS46" s="112"/>
      <c r="AT46" s="318"/>
      <c r="AU46" s="343"/>
      <c r="AV46" s="344"/>
      <c r="AW46" s="318"/>
      <c r="AX46" s="318"/>
      <c r="AY46" s="245"/>
      <c r="AZ46" s="245"/>
    </row>
    <row r="47" spans="1:52" ht="96.75" customHeight="1" x14ac:dyDescent="0.35">
      <c r="A47" s="195"/>
      <c r="B47" s="195"/>
      <c r="C47" s="195"/>
      <c r="D47" s="275"/>
      <c r="E47" s="63" t="s">
        <v>66</v>
      </c>
      <c r="F47" s="56" t="s">
        <v>199</v>
      </c>
      <c r="G47" s="56">
        <v>0</v>
      </c>
      <c r="H47" s="105" t="s">
        <v>422</v>
      </c>
      <c r="I47" s="105" t="s">
        <v>422</v>
      </c>
      <c r="J47" s="275"/>
      <c r="K47" s="56" t="s">
        <v>254</v>
      </c>
      <c r="L47" s="63" t="s">
        <v>135</v>
      </c>
      <c r="M47" s="56" t="s">
        <v>153</v>
      </c>
      <c r="N47" s="64" t="s">
        <v>465</v>
      </c>
      <c r="O47" s="64" t="s">
        <v>403</v>
      </c>
      <c r="P47" s="79" t="s">
        <v>403</v>
      </c>
      <c r="Q47" s="79" t="s">
        <v>403</v>
      </c>
      <c r="R47" s="79"/>
      <c r="S47" s="181">
        <f>1/1</f>
        <v>1</v>
      </c>
      <c r="T47" s="361"/>
      <c r="U47" s="383"/>
      <c r="V47" s="218"/>
      <c r="W47" s="218"/>
      <c r="X47" s="245"/>
      <c r="Y47" s="245"/>
      <c r="Z47" s="243"/>
      <c r="AA47" s="245"/>
      <c r="AB47" s="243"/>
      <c r="AC47" s="243"/>
      <c r="AD47" s="243"/>
      <c r="AE47" s="137"/>
      <c r="AF47" s="209"/>
      <c r="AG47" s="253"/>
      <c r="AH47" s="245"/>
      <c r="AI47" s="247"/>
      <c r="AJ47" s="266"/>
      <c r="AK47" s="218"/>
      <c r="AL47" s="112"/>
      <c r="AM47" s="112"/>
      <c r="AN47" s="112"/>
      <c r="AO47" s="112"/>
      <c r="AP47" s="112"/>
      <c r="AQ47" s="112"/>
      <c r="AR47" s="112"/>
      <c r="AS47" s="112"/>
      <c r="AT47" s="318"/>
      <c r="AU47" s="343"/>
      <c r="AV47" s="344"/>
      <c r="AW47" s="318"/>
      <c r="AX47" s="318"/>
      <c r="AY47" s="245"/>
      <c r="AZ47" s="245"/>
    </row>
    <row r="48" spans="1:52" ht="150.75" customHeight="1" x14ac:dyDescent="0.35">
      <c r="A48" s="195"/>
      <c r="B48" s="195"/>
      <c r="C48" s="195"/>
      <c r="D48" s="275"/>
      <c r="E48" s="63" t="s">
        <v>67</v>
      </c>
      <c r="F48" s="56" t="s">
        <v>200</v>
      </c>
      <c r="G48" s="56" t="s">
        <v>201</v>
      </c>
      <c r="H48" s="79" t="s">
        <v>403</v>
      </c>
      <c r="I48" s="79" t="s">
        <v>403</v>
      </c>
      <c r="J48" s="275"/>
      <c r="K48" s="56" t="s">
        <v>255</v>
      </c>
      <c r="L48" s="63" t="s">
        <v>136</v>
      </c>
      <c r="M48" s="56" t="s">
        <v>285</v>
      </c>
      <c r="N48" s="66">
        <v>0</v>
      </c>
      <c r="O48" s="66" t="s">
        <v>403</v>
      </c>
      <c r="P48" s="79" t="s">
        <v>403</v>
      </c>
      <c r="Q48" s="79" t="s">
        <v>403</v>
      </c>
      <c r="R48" s="79"/>
      <c r="S48" s="181">
        <f>N48/1</f>
        <v>0</v>
      </c>
      <c r="T48" s="362"/>
      <c r="U48" s="384"/>
      <c r="V48" s="218"/>
      <c r="W48" s="218"/>
      <c r="X48" s="237"/>
      <c r="Y48" s="237"/>
      <c r="Z48" s="244"/>
      <c r="AA48" s="237"/>
      <c r="AB48" s="244"/>
      <c r="AC48" s="244"/>
      <c r="AD48" s="244"/>
      <c r="AE48" s="137"/>
      <c r="AF48" s="210"/>
      <c r="AG48" s="254"/>
      <c r="AH48" s="237"/>
      <c r="AI48" s="248"/>
      <c r="AJ48" s="267"/>
      <c r="AK48" s="218"/>
      <c r="AL48" s="112"/>
      <c r="AM48" s="112"/>
      <c r="AN48" s="112"/>
      <c r="AO48" s="112"/>
      <c r="AP48" s="112"/>
      <c r="AQ48" s="112"/>
      <c r="AR48" s="112"/>
      <c r="AS48" s="112"/>
      <c r="AT48" s="318"/>
      <c r="AU48" s="343"/>
      <c r="AV48" s="344"/>
      <c r="AW48" s="318"/>
      <c r="AX48" s="318"/>
      <c r="AY48" s="237"/>
      <c r="AZ48" s="237"/>
    </row>
    <row r="49" spans="1:52" ht="91.5" customHeight="1" x14ac:dyDescent="0.35">
      <c r="A49" s="195"/>
      <c r="B49" s="195"/>
      <c r="C49" s="195"/>
      <c r="D49" s="199" t="s">
        <v>68</v>
      </c>
      <c r="E49" s="197" t="s">
        <v>69</v>
      </c>
      <c r="F49" s="226" t="s">
        <v>202</v>
      </c>
      <c r="G49" s="226" t="s">
        <v>347</v>
      </c>
      <c r="H49" s="226" t="s">
        <v>398</v>
      </c>
      <c r="I49" s="226"/>
      <c r="J49" s="199" t="s">
        <v>90</v>
      </c>
      <c r="K49" s="26" t="s">
        <v>256</v>
      </c>
      <c r="L49" s="38" t="s">
        <v>137</v>
      </c>
      <c r="M49" s="8" t="s">
        <v>153</v>
      </c>
      <c r="N49" s="17">
        <f>4+1</f>
        <v>5</v>
      </c>
      <c r="O49" s="17" t="s">
        <v>518</v>
      </c>
      <c r="P49" s="199" t="s">
        <v>399</v>
      </c>
      <c r="Q49" s="199" t="s">
        <v>399</v>
      </c>
      <c r="R49" s="127"/>
      <c r="S49" s="183">
        <f>N49/6</f>
        <v>0.83333333333333337</v>
      </c>
      <c r="T49" s="354">
        <f>SUM(S49:S52)/(4)</f>
        <v>0.66187315634218291</v>
      </c>
      <c r="U49" s="354">
        <f>SUM(T49:T57)/(2)</f>
        <v>0.83093657817109146</v>
      </c>
      <c r="V49" s="197" t="s">
        <v>304</v>
      </c>
      <c r="W49" s="197" t="s">
        <v>305</v>
      </c>
      <c r="X49" s="256" t="s">
        <v>368</v>
      </c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8"/>
      <c r="AK49" s="197" t="s">
        <v>358</v>
      </c>
      <c r="AL49" s="107"/>
      <c r="AM49" s="107"/>
      <c r="AN49" s="107"/>
      <c r="AO49" s="107"/>
      <c r="AP49" s="107"/>
      <c r="AQ49" s="107"/>
      <c r="AR49" s="107"/>
      <c r="AS49" s="107"/>
      <c r="AT49" s="255">
        <v>0</v>
      </c>
      <c r="AU49" s="255">
        <v>0</v>
      </c>
      <c r="AV49" s="336">
        <v>0</v>
      </c>
      <c r="AW49" s="336">
        <v>0</v>
      </c>
      <c r="AX49" s="336">
        <v>0</v>
      </c>
      <c r="AY49" s="255"/>
      <c r="AZ49" s="255"/>
    </row>
    <row r="50" spans="1:52" ht="80.25" customHeight="1" x14ac:dyDescent="0.35">
      <c r="A50" s="195"/>
      <c r="B50" s="195"/>
      <c r="C50" s="195"/>
      <c r="D50" s="199"/>
      <c r="E50" s="197"/>
      <c r="F50" s="227"/>
      <c r="G50" s="227"/>
      <c r="H50" s="274"/>
      <c r="I50" s="274"/>
      <c r="J50" s="199"/>
      <c r="K50" s="26" t="s">
        <v>257</v>
      </c>
      <c r="L50" s="35" t="s">
        <v>138</v>
      </c>
      <c r="M50" s="8" t="s">
        <v>153</v>
      </c>
      <c r="N50" s="15">
        <f>132+200+116</f>
        <v>448</v>
      </c>
      <c r="O50" s="15"/>
      <c r="P50" s="199"/>
      <c r="Q50" s="199"/>
      <c r="R50" s="127"/>
      <c r="S50" s="183">
        <f>100%</f>
        <v>1</v>
      </c>
      <c r="T50" s="352"/>
      <c r="U50" s="352"/>
      <c r="V50" s="197"/>
      <c r="W50" s="197"/>
      <c r="X50" s="259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1"/>
      <c r="AK50" s="197"/>
      <c r="AL50" s="107"/>
      <c r="AM50" s="107"/>
      <c r="AN50" s="107"/>
      <c r="AO50" s="107"/>
      <c r="AP50" s="107"/>
      <c r="AQ50" s="107"/>
      <c r="AR50" s="107"/>
      <c r="AS50" s="107"/>
      <c r="AT50" s="255"/>
      <c r="AU50" s="255"/>
      <c r="AV50" s="337"/>
      <c r="AW50" s="337"/>
      <c r="AX50" s="337"/>
      <c r="AY50" s="255"/>
      <c r="AZ50" s="255"/>
    </row>
    <row r="51" spans="1:52" ht="123" customHeight="1" x14ac:dyDescent="0.35">
      <c r="A51" s="195"/>
      <c r="B51" s="195"/>
      <c r="C51" s="195"/>
      <c r="D51" s="199"/>
      <c r="E51" s="6" t="s">
        <v>70</v>
      </c>
      <c r="F51" s="8" t="s">
        <v>203</v>
      </c>
      <c r="G51" s="8" t="s">
        <v>204</v>
      </c>
      <c r="H51" s="274"/>
      <c r="I51" s="274"/>
      <c r="J51" s="199"/>
      <c r="K51" s="8" t="s">
        <v>258</v>
      </c>
      <c r="L51" s="35" t="s">
        <v>139</v>
      </c>
      <c r="M51" s="8">
        <v>40</v>
      </c>
      <c r="N51" s="13">
        <f>132+52</f>
        <v>184</v>
      </c>
      <c r="O51" s="13"/>
      <c r="P51" s="199"/>
      <c r="Q51" s="199"/>
      <c r="R51" s="127"/>
      <c r="S51" s="183">
        <f>N51/226</f>
        <v>0.81415929203539827</v>
      </c>
      <c r="T51" s="352"/>
      <c r="U51" s="352"/>
      <c r="V51" s="197"/>
      <c r="W51" s="197"/>
      <c r="X51" s="259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1"/>
      <c r="AK51" s="197"/>
      <c r="AL51" s="107"/>
      <c r="AM51" s="107"/>
      <c r="AN51" s="107"/>
      <c r="AO51" s="107"/>
      <c r="AP51" s="107"/>
      <c r="AQ51" s="107"/>
      <c r="AR51" s="107"/>
      <c r="AS51" s="107"/>
      <c r="AT51" s="255"/>
      <c r="AU51" s="255"/>
      <c r="AV51" s="337"/>
      <c r="AW51" s="337"/>
      <c r="AX51" s="337"/>
      <c r="AY51" s="255"/>
      <c r="AZ51" s="255"/>
    </row>
    <row r="52" spans="1:52" ht="118.5" customHeight="1" x14ac:dyDescent="0.35">
      <c r="A52" s="195"/>
      <c r="B52" s="195"/>
      <c r="C52" s="195"/>
      <c r="D52" s="199"/>
      <c r="E52" s="6" t="s">
        <v>71</v>
      </c>
      <c r="F52" s="8" t="s">
        <v>205</v>
      </c>
      <c r="G52" s="8" t="s">
        <v>206</v>
      </c>
      <c r="H52" s="227"/>
      <c r="I52" s="227"/>
      <c r="J52" s="199"/>
      <c r="K52" s="8" t="s">
        <v>259</v>
      </c>
      <c r="L52" s="35" t="s">
        <v>140</v>
      </c>
      <c r="M52" s="8">
        <v>45</v>
      </c>
      <c r="N52" s="13">
        <v>0</v>
      </c>
      <c r="O52" s="13"/>
      <c r="P52" s="199"/>
      <c r="Q52" s="199"/>
      <c r="R52" s="127"/>
      <c r="S52" s="183">
        <f>N52/45</f>
        <v>0</v>
      </c>
      <c r="T52" s="353"/>
      <c r="U52" s="352"/>
      <c r="V52" s="197"/>
      <c r="W52" s="197"/>
      <c r="X52" s="262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4"/>
      <c r="AK52" s="197"/>
      <c r="AL52" s="107"/>
      <c r="AM52" s="107"/>
      <c r="AN52" s="107"/>
      <c r="AO52" s="107"/>
      <c r="AP52" s="107"/>
      <c r="AQ52" s="107"/>
      <c r="AR52" s="107"/>
      <c r="AS52" s="107"/>
      <c r="AT52" s="255"/>
      <c r="AU52" s="255"/>
      <c r="AV52" s="338"/>
      <c r="AW52" s="338"/>
      <c r="AX52" s="338"/>
      <c r="AY52" s="255"/>
      <c r="AZ52" s="255"/>
    </row>
    <row r="53" spans="1:52" ht="102" customHeight="1" x14ac:dyDescent="0.35">
      <c r="A53" s="195"/>
      <c r="B53" s="195"/>
      <c r="C53" s="195"/>
      <c r="D53" s="199" t="s">
        <v>72</v>
      </c>
      <c r="E53" s="6" t="s">
        <v>73</v>
      </c>
      <c r="F53" s="8" t="s">
        <v>207</v>
      </c>
      <c r="G53" s="8">
        <v>0</v>
      </c>
      <c r="H53" s="226" t="s">
        <v>398</v>
      </c>
      <c r="I53" s="226"/>
      <c r="J53" s="199" t="s">
        <v>72</v>
      </c>
      <c r="K53" s="8" t="s">
        <v>260</v>
      </c>
      <c r="L53" s="7" t="s">
        <v>141</v>
      </c>
      <c r="M53" s="20" t="s">
        <v>338</v>
      </c>
      <c r="N53" s="41" t="s">
        <v>311</v>
      </c>
      <c r="O53" s="148" t="s">
        <v>518</v>
      </c>
      <c r="P53" s="199" t="s">
        <v>400</v>
      </c>
      <c r="Q53" s="199" t="s">
        <v>400</v>
      </c>
      <c r="R53" s="127"/>
      <c r="S53" s="183">
        <f>1/1</f>
        <v>1</v>
      </c>
      <c r="T53" s="354">
        <f>SUM(S53:S57)/(5)</f>
        <v>1</v>
      </c>
      <c r="U53" s="352"/>
      <c r="V53" s="197" t="s">
        <v>306</v>
      </c>
      <c r="W53" s="197" t="s">
        <v>307</v>
      </c>
      <c r="X53" s="256" t="s">
        <v>370</v>
      </c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8"/>
      <c r="AK53" s="197" t="s">
        <v>358</v>
      </c>
      <c r="AL53" s="107"/>
      <c r="AM53" s="107"/>
      <c r="AN53" s="107"/>
      <c r="AO53" s="107"/>
      <c r="AP53" s="107"/>
      <c r="AQ53" s="107"/>
      <c r="AR53" s="107"/>
      <c r="AS53" s="107"/>
      <c r="AT53" s="255">
        <v>0</v>
      </c>
      <c r="AU53" s="255">
        <v>0</v>
      </c>
      <c r="AV53" s="286">
        <v>0</v>
      </c>
      <c r="AW53" s="286">
        <v>0</v>
      </c>
      <c r="AX53" s="286">
        <v>0</v>
      </c>
      <c r="AY53" s="255"/>
      <c r="AZ53" s="255"/>
    </row>
    <row r="54" spans="1:52" ht="116.25" customHeight="1" x14ac:dyDescent="0.35">
      <c r="A54" s="195"/>
      <c r="B54" s="195"/>
      <c r="C54" s="195"/>
      <c r="D54" s="199"/>
      <c r="E54" s="197" t="s">
        <v>74</v>
      </c>
      <c r="F54" s="226" t="s">
        <v>208</v>
      </c>
      <c r="G54" s="226" t="s">
        <v>209</v>
      </c>
      <c r="H54" s="274"/>
      <c r="I54" s="274"/>
      <c r="J54" s="199"/>
      <c r="K54" s="8" t="s">
        <v>261</v>
      </c>
      <c r="L54" s="7" t="s">
        <v>142</v>
      </c>
      <c r="M54" s="8" t="s">
        <v>153</v>
      </c>
      <c r="N54" s="13">
        <f>31+5+3</f>
        <v>39</v>
      </c>
      <c r="O54" s="13"/>
      <c r="P54" s="199"/>
      <c r="Q54" s="199"/>
      <c r="R54" s="127"/>
      <c r="S54" s="183">
        <f>100%</f>
        <v>1</v>
      </c>
      <c r="T54" s="352"/>
      <c r="U54" s="352"/>
      <c r="V54" s="197"/>
      <c r="W54" s="197"/>
      <c r="X54" s="259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1"/>
      <c r="AK54" s="197"/>
      <c r="AL54" s="107"/>
      <c r="AM54" s="107"/>
      <c r="AN54" s="107"/>
      <c r="AO54" s="107"/>
      <c r="AP54" s="107"/>
      <c r="AQ54" s="107"/>
      <c r="AR54" s="107"/>
      <c r="AS54" s="107"/>
      <c r="AT54" s="255"/>
      <c r="AU54" s="255"/>
      <c r="AV54" s="286"/>
      <c r="AW54" s="286"/>
      <c r="AX54" s="286"/>
      <c r="AY54" s="255"/>
      <c r="AZ54" s="255"/>
    </row>
    <row r="55" spans="1:52" ht="105.75" customHeight="1" x14ac:dyDescent="0.35">
      <c r="A55" s="195"/>
      <c r="B55" s="195"/>
      <c r="C55" s="195"/>
      <c r="D55" s="199"/>
      <c r="E55" s="197"/>
      <c r="F55" s="274"/>
      <c r="G55" s="274"/>
      <c r="H55" s="274"/>
      <c r="I55" s="274"/>
      <c r="J55" s="199"/>
      <c r="K55" s="8" t="s">
        <v>262</v>
      </c>
      <c r="L55" s="7" t="s">
        <v>143</v>
      </c>
      <c r="M55" s="8">
        <v>2</v>
      </c>
      <c r="N55" s="13">
        <f>5+2+3</f>
        <v>10</v>
      </c>
      <c r="O55" s="13"/>
      <c r="P55" s="199"/>
      <c r="Q55" s="199"/>
      <c r="R55" s="127"/>
      <c r="S55" s="183">
        <f>100%</f>
        <v>1</v>
      </c>
      <c r="T55" s="352"/>
      <c r="U55" s="352"/>
      <c r="V55" s="197"/>
      <c r="W55" s="197"/>
      <c r="X55" s="259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1"/>
      <c r="AK55" s="197"/>
      <c r="AL55" s="107"/>
      <c r="AM55" s="107"/>
      <c r="AN55" s="107"/>
      <c r="AO55" s="107"/>
      <c r="AP55" s="107"/>
      <c r="AQ55" s="107"/>
      <c r="AR55" s="107"/>
      <c r="AS55" s="107"/>
      <c r="AT55" s="255"/>
      <c r="AU55" s="255"/>
      <c r="AV55" s="286"/>
      <c r="AW55" s="286"/>
      <c r="AX55" s="286"/>
      <c r="AY55" s="255"/>
      <c r="AZ55" s="255"/>
    </row>
    <row r="56" spans="1:52" ht="112.5" customHeight="1" x14ac:dyDescent="0.35">
      <c r="A56" s="195"/>
      <c r="B56" s="195"/>
      <c r="C56" s="195"/>
      <c r="D56" s="199"/>
      <c r="E56" s="197"/>
      <c r="F56" s="274"/>
      <c r="G56" s="274"/>
      <c r="H56" s="274"/>
      <c r="I56" s="274"/>
      <c r="J56" s="199"/>
      <c r="K56" s="8" t="s">
        <v>263</v>
      </c>
      <c r="L56" s="7" t="s">
        <v>144</v>
      </c>
      <c r="M56" s="8">
        <v>12</v>
      </c>
      <c r="N56" s="13">
        <f>19+2+2</f>
        <v>23</v>
      </c>
      <c r="O56" s="13"/>
      <c r="P56" s="199"/>
      <c r="Q56" s="199"/>
      <c r="R56" s="127"/>
      <c r="S56" s="183">
        <f>100%</f>
        <v>1</v>
      </c>
      <c r="T56" s="352"/>
      <c r="U56" s="352"/>
      <c r="V56" s="197"/>
      <c r="W56" s="197"/>
      <c r="X56" s="259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1"/>
      <c r="AK56" s="197"/>
      <c r="AL56" s="107"/>
      <c r="AM56" s="107"/>
      <c r="AN56" s="107"/>
      <c r="AO56" s="107"/>
      <c r="AP56" s="107"/>
      <c r="AQ56" s="107"/>
      <c r="AR56" s="107"/>
      <c r="AS56" s="107"/>
      <c r="AT56" s="255"/>
      <c r="AU56" s="255"/>
      <c r="AV56" s="286"/>
      <c r="AW56" s="286"/>
      <c r="AX56" s="286"/>
      <c r="AY56" s="255"/>
      <c r="AZ56" s="255"/>
    </row>
    <row r="57" spans="1:52" ht="135.75" customHeight="1" x14ac:dyDescent="0.35">
      <c r="A57" s="195"/>
      <c r="B57" s="196"/>
      <c r="C57" s="196"/>
      <c r="D57" s="199"/>
      <c r="E57" s="197"/>
      <c r="F57" s="227"/>
      <c r="G57" s="227"/>
      <c r="H57" s="227"/>
      <c r="I57" s="227"/>
      <c r="J57" s="199"/>
      <c r="K57" s="8" t="s">
        <v>264</v>
      </c>
      <c r="L57" s="7" t="s">
        <v>145</v>
      </c>
      <c r="M57" s="8" t="s">
        <v>286</v>
      </c>
      <c r="N57" s="13" t="s">
        <v>366</v>
      </c>
      <c r="O57" s="13"/>
      <c r="P57" s="199"/>
      <c r="Q57" s="199"/>
      <c r="R57" s="127"/>
      <c r="S57" s="183">
        <f>1/1</f>
        <v>1</v>
      </c>
      <c r="T57" s="353"/>
      <c r="U57" s="353"/>
      <c r="V57" s="197"/>
      <c r="W57" s="197"/>
      <c r="X57" s="262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4"/>
      <c r="AK57" s="197"/>
      <c r="AL57" s="107"/>
      <c r="AM57" s="107"/>
      <c r="AN57" s="107"/>
      <c r="AO57" s="107"/>
      <c r="AP57" s="107"/>
      <c r="AQ57" s="107"/>
      <c r="AR57" s="107"/>
      <c r="AS57" s="107"/>
      <c r="AT57" s="255"/>
      <c r="AU57" s="255"/>
      <c r="AV57" s="286"/>
      <c r="AW57" s="286"/>
      <c r="AX57" s="286"/>
      <c r="AY57" s="255"/>
      <c r="AZ57" s="255"/>
    </row>
    <row r="58" spans="1:52" ht="76.5" customHeight="1" x14ac:dyDescent="0.35">
      <c r="A58" s="195"/>
      <c r="B58" s="198" t="s">
        <v>75</v>
      </c>
      <c r="C58" s="197" t="s">
        <v>76</v>
      </c>
      <c r="D58" s="199" t="s">
        <v>77</v>
      </c>
      <c r="E58" s="197" t="s">
        <v>78</v>
      </c>
      <c r="F58" s="226" t="s">
        <v>210</v>
      </c>
      <c r="G58" s="226" t="s">
        <v>211</v>
      </c>
      <c r="H58" s="226" t="s">
        <v>398</v>
      </c>
      <c r="I58" s="226"/>
      <c r="J58" s="217" t="s">
        <v>91</v>
      </c>
      <c r="K58" s="8" t="s">
        <v>265</v>
      </c>
      <c r="L58" s="35" t="s">
        <v>146</v>
      </c>
      <c r="M58" s="8" t="s">
        <v>287</v>
      </c>
      <c r="N58" s="16">
        <v>0</v>
      </c>
      <c r="O58" s="16" t="s">
        <v>518</v>
      </c>
      <c r="P58" s="217" t="s">
        <v>399</v>
      </c>
      <c r="Q58" s="217" t="s">
        <v>399</v>
      </c>
      <c r="R58" s="160"/>
      <c r="S58" s="184">
        <f>N58/1</f>
        <v>0</v>
      </c>
      <c r="T58" s="354">
        <f>SUM(S58:S61)/(4)</f>
        <v>3.021978021978022E-2</v>
      </c>
      <c r="U58" s="380">
        <f>T58</f>
        <v>3.021978021978022E-2</v>
      </c>
      <c r="V58" s="268" t="s">
        <v>308</v>
      </c>
      <c r="W58" s="271" t="s">
        <v>153</v>
      </c>
      <c r="X58" s="256" t="s">
        <v>369</v>
      </c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8"/>
      <c r="AK58" s="342" t="s">
        <v>358</v>
      </c>
      <c r="AL58" s="118"/>
      <c r="AM58" s="118"/>
      <c r="AN58" s="118"/>
      <c r="AO58" s="118"/>
      <c r="AP58" s="118"/>
      <c r="AQ58" s="118"/>
      <c r="AR58" s="118"/>
      <c r="AS58" s="118"/>
      <c r="AT58" s="288">
        <v>0</v>
      </c>
      <c r="AU58" s="288">
        <v>0</v>
      </c>
      <c r="AV58" s="287">
        <v>0</v>
      </c>
      <c r="AW58" s="287">
        <v>0</v>
      </c>
      <c r="AX58" s="287">
        <v>0</v>
      </c>
      <c r="AY58" s="288"/>
      <c r="AZ58" s="288"/>
    </row>
    <row r="59" spans="1:52" ht="80.25" customHeight="1" x14ac:dyDescent="0.35">
      <c r="A59" s="195"/>
      <c r="B59" s="195"/>
      <c r="C59" s="197"/>
      <c r="D59" s="199"/>
      <c r="E59" s="197"/>
      <c r="F59" s="274"/>
      <c r="G59" s="274"/>
      <c r="H59" s="274"/>
      <c r="I59" s="274"/>
      <c r="J59" s="199"/>
      <c r="K59" s="8" t="s">
        <v>266</v>
      </c>
      <c r="L59" s="35" t="s">
        <v>147</v>
      </c>
      <c r="M59" s="8" t="s">
        <v>288</v>
      </c>
      <c r="N59" s="19">
        <v>0</v>
      </c>
      <c r="O59" s="19"/>
      <c r="P59" s="199"/>
      <c r="Q59" s="199"/>
      <c r="R59" s="160"/>
      <c r="S59" s="184">
        <f>0%</f>
        <v>0</v>
      </c>
      <c r="T59" s="352"/>
      <c r="U59" s="385"/>
      <c r="V59" s="269"/>
      <c r="W59" s="272"/>
      <c r="X59" s="259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1"/>
      <c r="AK59" s="342"/>
      <c r="AL59" s="118"/>
      <c r="AM59" s="118"/>
      <c r="AN59" s="118"/>
      <c r="AO59" s="118"/>
      <c r="AP59" s="118"/>
      <c r="AQ59" s="118"/>
      <c r="AR59" s="118"/>
      <c r="AS59" s="118"/>
      <c r="AT59" s="288"/>
      <c r="AU59" s="288"/>
      <c r="AV59" s="287"/>
      <c r="AW59" s="287"/>
      <c r="AX59" s="287"/>
      <c r="AY59" s="288"/>
      <c r="AZ59" s="288"/>
    </row>
    <row r="60" spans="1:52" ht="80.25" customHeight="1" x14ac:dyDescent="0.35">
      <c r="A60" s="195"/>
      <c r="B60" s="195"/>
      <c r="C60" s="197"/>
      <c r="D60" s="199"/>
      <c r="E60" s="197"/>
      <c r="F60" s="274"/>
      <c r="G60" s="274"/>
      <c r="H60" s="274"/>
      <c r="I60" s="274"/>
      <c r="J60" s="199"/>
      <c r="K60" s="226" t="s">
        <v>267</v>
      </c>
      <c r="L60" s="35" t="s">
        <v>148</v>
      </c>
      <c r="M60" s="226" t="s">
        <v>289</v>
      </c>
      <c r="N60" s="17">
        <v>0</v>
      </c>
      <c r="O60" s="17"/>
      <c r="P60" s="199"/>
      <c r="Q60" s="199"/>
      <c r="R60" s="160"/>
      <c r="S60" s="184">
        <f>0%</f>
        <v>0</v>
      </c>
      <c r="T60" s="352"/>
      <c r="U60" s="385"/>
      <c r="V60" s="269"/>
      <c r="W60" s="272"/>
      <c r="X60" s="259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1"/>
      <c r="AK60" s="342"/>
      <c r="AL60" s="118"/>
      <c r="AM60" s="118"/>
      <c r="AN60" s="118"/>
      <c r="AO60" s="118"/>
      <c r="AP60" s="118"/>
      <c r="AQ60" s="118"/>
      <c r="AR60" s="118"/>
      <c r="AS60" s="118"/>
      <c r="AT60" s="288"/>
      <c r="AU60" s="288"/>
      <c r="AV60" s="287"/>
      <c r="AW60" s="287"/>
      <c r="AX60" s="287"/>
      <c r="AY60" s="288"/>
      <c r="AZ60" s="288"/>
    </row>
    <row r="61" spans="1:52" ht="55.5" customHeight="1" x14ac:dyDescent="0.35">
      <c r="A61" s="196"/>
      <c r="B61" s="196"/>
      <c r="C61" s="197"/>
      <c r="D61" s="199"/>
      <c r="E61" s="197"/>
      <c r="F61" s="227"/>
      <c r="G61" s="227"/>
      <c r="H61" s="227"/>
      <c r="I61" s="227"/>
      <c r="J61" s="199"/>
      <c r="K61" s="227"/>
      <c r="L61" s="35" t="s">
        <v>149</v>
      </c>
      <c r="M61" s="227"/>
      <c r="N61" s="43">
        <v>11</v>
      </c>
      <c r="O61" s="155"/>
      <c r="P61" s="199"/>
      <c r="Q61" s="199"/>
      <c r="R61" s="130"/>
      <c r="S61" s="177">
        <f>N61/91</f>
        <v>0.12087912087912088</v>
      </c>
      <c r="T61" s="353"/>
      <c r="U61" s="381"/>
      <c r="V61" s="270"/>
      <c r="W61" s="273"/>
      <c r="X61" s="262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4"/>
      <c r="AK61" s="342"/>
      <c r="AL61" s="118"/>
      <c r="AM61" s="118"/>
      <c r="AN61" s="118"/>
      <c r="AO61" s="391"/>
      <c r="AP61" s="118"/>
      <c r="AQ61" s="118"/>
      <c r="AR61" s="118"/>
      <c r="AS61" s="118"/>
      <c r="AT61" s="288"/>
      <c r="AU61" s="288"/>
      <c r="AV61" s="287"/>
      <c r="AW61" s="287"/>
      <c r="AX61" s="287"/>
      <c r="AY61" s="288"/>
      <c r="AZ61" s="288"/>
    </row>
    <row r="62" spans="1:52" ht="21" x14ac:dyDescent="0.5">
      <c r="L62" s="37"/>
      <c r="U62" s="187">
        <f>SUM(U2:U61)/(10)</f>
        <v>0.69689235849672748</v>
      </c>
      <c r="AG62" s="139">
        <f>3.08/5</f>
        <v>0.61599999999999999</v>
      </c>
      <c r="AO62" s="392">
        <f>SUM(AO2:AO61)</f>
        <v>18766929856.350002</v>
      </c>
      <c r="AP62" s="392">
        <f>SUM(AP2:AP61)</f>
        <v>4106426656.7200003</v>
      </c>
      <c r="AQ62" s="392">
        <f>SUM(AQ2:AQ61)</f>
        <v>18766929856.349998</v>
      </c>
      <c r="AR62" s="392">
        <f>SUM(AR2:AR61)</f>
        <v>4106426656.7200003</v>
      </c>
      <c r="AS62" s="194">
        <f>AR62/AQ62</f>
        <v>0.21881185085425922</v>
      </c>
    </row>
    <row r="63" spans="1:52" x14ac:dyDescent="0.35">
      <c r="L63" s="37"/>
      <c r="AO63" s="392"/>
      <c r="AP63" s="392"/>
      <c r="AQ63" s="392"/>
      <c r="AR63" s="392"/>
    </row>
    <row r="64" spans="1:52" x14ac:dyDescent="0.35">
      <c r="L64" s="37"/>
    </row>
    <row r="65" spans="12:12" x14ac:dyDescent="0.35">
      <c r="L65" s="37"/>
    </row>
    <row r="66" spans="12:12" x14ac:dyDescent="0.35">
      <c r="L66" s="37"/>
    </row>
    <row r="67" spans="12:12" x14ac:dyDescent="0.35">
      <c r="L67" s="37"/>
    </row>
    <row r="68" spans="12:12" x14ac:dyDescent="0.35">
      <c r="L68" s="37"/>
    </row>
    <row r="69" spans="12:12" x14ac:dyDescent="0.35">
      <c r="L69" s="37"/>
    </row>
    <row r="70" spans="12:12" x14ac:dyDescent="0.35">
      <c r="L70" s="37"/>
    </row>
    <row r="71" spans="12:12" x14ac:dyDescent="0.35">
      <c r="L71" s="37"/>
    </row>
  </sheetData>
  <mergeCells count="337">
    <mergeCell ref="U15:U18"/>
    <mergeCell ref="U19:U26"/>
    <mergeCell ref="U27:U29"/>
    <mergeCell ref="U30:U31"/>
    <mergeCell ref="U32:U36"/>
    <mergeCell ref="U38:U48"/>
    <mergeCell ref="U49:U57"/>
    <mergeCell ref="U58:U61"/>
    <mergeCell ref="AX49:AX52"/>
    <mergeCell ref="AX53:AX57"/>
    <mergeCell ref="AX58:AX61"/>
    <mergeCell ref="AU16:AU18"/>
    <mergeCell ref="AC24:AC26"/>
    <mergeCell ref="AC39:AC40"/>
    <mergeCell ref="X24:X26"/>
    <mergeCell ref="Y24:Y26"/>
    <mergeCell ref="Z24:Z26"/>
    <mergeCell ref="Z27:Z28"/>
    <mergeCell ref="AA27:AA28"/>
    <mergeCell ref="AB27:AB28"/>
    <mergeCell ref="AH27:AH28"/>
    <mergeCell ref="AI27:AI28"/>
    <mergeCell ref="AJ27:AJ28"/>
    <mergeCell ref="AB32:AB36"/>
    <mergeCell ref="AY39:AY40"/>
    <mergeCell ref="AY32:AY36"/>
    <mergeCell ref="AY58:AY61"/>
    <mergeCell ref="AY53:AY57"/>
    <mergeCell ref="AY49:AY52"/>
    <mergeCell ref="T2:T7"/>
    <mergeCell ref="T8:T11"/>
    <mergeCell ref="T12:T14"/>
    <mergeCell ref="T15:T16"/>
    <mergeCell ref="T17:T18"/>
    <mergeCell ref="T19:T20"/>
    <mergeCell ref="T21:T23"/>
    <mergeCell ref="T24:T26"/>
    <mergeCell ref="T27:T29"/>
    <mergeCell ref="T30:T31"/>
    <mergeCell ref="T32:T36"/>
    <mergeCell ref="T38:T48"/>
    <mergeCell ref="T49:T52"/>
    <mergeCell ref="T53:T57"/>
    <mergeCell ref="T58:T61"/>
    <mergeCell ref="U2:U14"/>
    <mergeCell ref="AK2:AK14"/>
    <mergeCell ref="AV16:AV18"/>
    <mergeCell ref="AV19:AV20"/>
    <mergeCell ref="AZ2:AZ7"/>
    <mergeCell ref="AZ8:AZ11"/>
    <mergeCell ref="AZ12:AZ13"/>
    <mergeCell ref="AZ24:AZ26"/>
    <mergeCell ref="AU19:AU20"/>
    <mergeCell ref="AT2:AT7"/>
    <mergeCell ref="AT8:AT11"/>
    <mergeCell ref="AT12:AT13"/>
    <mergeCell ref="AK15:AK18"/>
    <mergeCell ref="AY2:AY7"/>
    <mergeCell ref="AY8:AY11"/>
    <mergeCell ref="AY12:AY13"/>
    <mergeCell ref="AX2:AX7"/>
    <mergeCell ref="AX8:AX11"/>
    <mergeCell ref="AX12:AX13"/>
    <mergeCell ref="AX16:AX18"/>
    <mergeCell ref="AX19:AX20"/>
    <mergeCell ref="AX24:AX26"/>
    <mergeCell ref="AU2:AU7"/>
    <mergeCell ref="AU8:AU11"/>
    <mergeCell ref="AU12:AU13"/>
    <mergeCell ref="AV2:AV7"/>
    <mergeCell ref="AV8:AV11"/>
    <mergeCell ref="AV12:AV13"/>
    <mergeCell ref="AW2:AW7"/>
    <mergeCell ref="AW8:AW11"/>
    <mergeCell ref="AW12:AW13"/>
    <mergeCell ref="AW16:AW18"/>
    <mergeCell ref="AW19:AW20"/>
    <mergeCell ref="AT19:AT20"/>
    <mergeCell ref="AT16:AT18"/>
    <mergeCell ref="AK19:AK20"/>
    <mergeCell ref="AT58:AT61"/>
    <mergeCell ref="AU58:AU61"/>
    <mergeCell ref="AV58:AV61"/>
    <mergeCell ref="AV32:AV36"/>
    <mergeCell ref="AT38:AT48"/>
    <mergeCell ref="AW49:AW52"/>
    <mergeCell ref="AV53:AV57"/>
    <mergeCell ref="AK21:AK23"/>
    <mergeCell ref="AT32:AT36"/>
    <mergeCell ref="AU32:AU36"/>
    <mergeCell ref="AT49:AT52"/>
    <mergeCell ref="AU49:AU52"/>
    <mergeCell ref="AK58:AK61"/>
    <mergeCell ref="AU38:AU48"/>
    <mergeCell ref="AV38:AV48"/>
    <mergeCell ref="AV49:AV52"/>
    <mergeCell ref="AZ27:AZ28"/>
    <mergeCell ref="AD39:AD40"/>
    <mergeCell ref="AY24:AY26"/>
    <mergeCell ref="AY27:AY28"/>
    <mergeCell ref="AY45:AY48"/>
    <mergeCell ref="AX27:AX29"/>
    <mergeCell ref="AX30:AX31"/>
    <mergeCell ref="AZ39:AZ40"/>
    <mergeCell ref="AZ32:AZ36"/>
    <mergeCell ref="AZ45:AZ48"/>
    <mergeCell ref="AJ39:AJ40"/>
    <mergeCell ref="AH24:AH26"/>
    <mergeCell ref="AI24:AI26"/>
    <mergeCell ref="AD27:AD28"/>
    <mergeCell ref="AW24:AW26"/>
    <mergeCell ref="AW27:AW29"/>
    <mergeCell ref="AW32:AW36"/>
    <mergeCell ref="AW38:AW48"/>
    <mergeCell ref="AW30:AW31"/>
    <mergeCell ref="AU24:AU26"/>
    <mergeCell ref="AX32:AX36"/>
    <mergeCell ref="AX38:AX48"/>
    <mergeCell ref="AK24:AK26"/>
    <mergeCell ref="AJ24:AJ26"/>
    <mergeCell ref="AZ49:AZ52"/>
    <mergeCell ref="AZ53:AZ57"/>
    <mergeCell ref="AW53:AW57"/>
    <mergeCell ref="AW58:AW61"/>
    <mergeCell ref="AZ58:AZ61"/>
    <mergeCell ref="B15:B57"/>
    <mergeCell ref="A15:A61"/>
    <mergeCell ref="B58:B61"/>
    <mergeCell ref="C58:C61"/>
    <mergeCell ref="D58:D61"/>
    <mergeCell ref="AU30:AU31"/>
    <mergeCell ref="AV30:AV31"/>
    <mergeCell ref="AU27:AU29"/>
    <mergeCell ref="AV27:AV29"/>
    <mergeCell ref="AT27:AT29"/>
    <mergeCell ref="AT24:AT26"/>
    <mergeCell ref="AT30:AT31"/>
    <mergeCell ref="Y39:Y40"/>
    <mergeCell ref="Z39:Z40"/>
    <mergeCell ref="AK30:AK31"/>
    <mergeCell ref="X30:AJ31"/>
    <mergeCell ref="AC27:AC28"/>
    <mergeCell ref="AK27:AK29"/>
    <mergeCell ref="AV24:AV26"/>
    <mergeCell ref="A2:A11"/>
    <mergeCell ref="B2:B11"/>
    <mergeCell ref="C2:C11"/>
    <mergeCell ref="D2:D7"/>
    <mergeCell ref="E2:E7"/>
    <mergeCell ref="D8:D11"/>
    <mergeCell ref="E8:E11"/>
    <mergeCell ref="A12:A14"/>
    <mergeCell ref="B12:B14"/>
    <mergeCell ref="C12:C14"/>
    <mergeCell ref="D12:D14"/>
    <mergeCell ref="E12:E14"/>
    <mergeCell ref="F58:F61"/>
    <mergeCell ref="F42:F43"/>
    <mergeCell ref="F49:F50"/>
    <mergeCell ref="F54:F57"/>
    <mergeCell ref="F32:F36"/>
    <mergeCell ref="H58:H61"/>
    <mergeCell ref="F2:F7"/>
    <mergeCell ref="G2:G7"/>
    <mergeCell ref="F8:F11"/>
    <mergeCell ref="F12:F14"/>
    <mergeCell ref="G12:G14"/>
    <mergeCell ref="H2:H7"/>
    <mergeCell ref="H8:H11"/>
    <mergeCell ref="H12:H14"/>
    <mergeCell ref="G58:G61"/>
    <mergeCell ref="G42:G43"/>
    <mergeCell ref="G54:G57"/>
    <mergeCell ref="G35:G36"/>
    <mergeCell ref="G49:G50"/>
    <mergeCell ref="F30:F31"/>
    <mergeCell ref="F28:F29"/>
    <mergeCell ref="F19:F20"/>
    <mergeCell ref="F21:F23"/>
    <mergeCell ref="G30:G31"/>
    <mergeCell ref="E58:E61"/>
    <mergeCell ref="D38:D48"/>
    <mergeCell ref="E42:E43"/>
    <mergeCell ref="D53:D57"/>
    <mergeCell ref="E54:E57"/>
    <mergeCell ref="D32:D37"/>
    <mergeCell ref="E35:E36"/>
    <mergeCell ref="E30:E31"/>
    <mergeCell ref="C15:C57"/>
    <mergeCell ref="D15:D18"/>
    <mergeCell ref="D49:D52"/>
    <mergeCell ref="E49:E50"/>
    <mergeCell ref="E19:E20"/>
    <mergeCell ref="D27:D29"/>
    <mergeCell ref="E28:E29"/>
    <mergeCell ref="D30:D31"/>
    <mergeCell ref="D19:D26"/>
    <mergeCell ref="E21:E23"/>
    <mergeCell ref="J30:J31"/>
    <mergeCell ref="J27:J29"/>
    <mergeCell ref="J17:J18"/>
    <mergeCell ref="G8:G11"/>
    <mergeCell ref="G28:G29"/>
    <mergeCell ref="J15:J16"/>
    <mergeCell ref="V21:V23"/>
    <mergeCell ref="V24:V26"/>
    <mergeCell ref="W24:W26"/>
    <mergeCell ref="W27:W29"/>
    <mergeCell ref="W30:W31"/>
    <mergeCell ref="P8:P11"/>
    <mergeCell ref="P12:P14"/>
    <mergeCell ref="P21:P22"/>
    <mergeCell ref="J19:J20"/>
    <mergeCell ref="J21:J23"/>
    <mergeCell ref="G19:G20"/>
    <mergeCell ref="G21:G23"/>
    <mergeCell ref="I30:I31"/>
    <mergeCell ref="P30:P31"/>
    <mergeCell ref="J24:J26"/>
    <mergeCell ref="H19:H20"/>
    <mergeCell ref="H21:H23"/>
    <mergeCell ref="H28:H29"/>
    <mergeCell ref="H30:H31"/>
    <mergeCell ref="H35:H36"/>
    <mergeCell ref="H42:H43"/>
    <mergeCell ref="I2:I7"/>
    <mergeCell ref="I8:I11"/>
    <mergeCell ref="I12:I14"/>
    <mergeCell ref="I19:I20"/>
    <mergeCell ref="I21:I23"/>
    <mergeCell ref="I28:I29"/>
    <mergeCell ref="H53:H57"/>
    <mergeCell ref="J38:J48"/>
    <mergeCell ref="J49:J52"/>
    <mergeCell ref="J53:J57"/>
    <mergeCell ref="J58:J61"/>
    <mergeCell ref="J32:J36"/>
    <mergeCell ref="I53:I57"/>
    <mergeCell ref="I58:I61"/>
    <mergeCell ref="H49:H52"/>
    <mergeCell ref="I49:I52"/>
    <mergeCell ref="I42:I43"/>
    <mergeCell ref="I35:I36"/>
    <mergeCell ref="V58:V61"/>
    <mergeCell ref="AJ45:AJ48"/>
    <mergeCell ref="V49:V52"/>
    <mergeCell ref="W49:W52"/>
    <mergeCell ref="W58:W61"/>
    <mergeCell ref="V38:V48"/>
    <mergeCell ref="W38:W48"/>
    <mergeCell ref="V53:V57"/>
    <mergeCell ref="W53:W57"/>
    <mergeCell ref="AT53:AT57"/>
    <mergeCell ref="AU53:AU57"/>
    <mergeCell ref="X45:X48"/>
    <mergeCell ref="Y45:Y48"/>
    <mergeCell ref="X58:AJ61"/>
    <mergeCell ref="X53:AJ57"/>
    <mergeCell ref="X49:AJ52"/>
    <mergeCell ref="X39:X40"/>
    <mergeCell ref="AC45:AC48"/>
    <mergeCell ref="AH39:AH40"/>
    <mergeCell ref="AI39:AI40"/>
    <mergeCell ref="AD45:AD48"/>
    <mergeCell ref="AK38:AK48"/>
    <mergeCell ref="AK49:AK52"/>
    <mergeCell ref="AK53:AK57"/>
    <mergeCell ref="AA39:AA40"/>
    <mergeCell ref="AB39:AB40"/>
    <mergeCell ref="AK32:AK36"/>
    <mergeCell ref="Z45:Z48"/>
    <mergeCell ref="AA45:AA48"/>
    <mergeCell ref="AB45:AB48"/>
    <mergeCell ref="AH45:AH48"/>
    <mergeCell ref="AI45:AI48"/>
    <mergeCell ref="X37:AJ37"/>
    <mergeCell ref="X32:X36"/>
    <mergeCell ref="Y32:Y36"/>
    <mergeCell ref="AA32:AA36"/>
    <mergeCell ref="Z32:Z36"/>
    <mergeCell ref="AD32:AD36"/>
    <mergeCell ref="AG38:AG48"/>
    <mergeCell ref="AH32:AH36"/>
    <mergeCell ref="AI32:AI36"/>
    <mergeCell ref="AJ32:AJ36"/>
    <mergeCell ref="AC32:AC36"/>
    <mergeCell ref="X2:AJ14"/>
    <mergeCell ref="V27:V29"/>
    <mergeCell ref="V30:V31"/>
    <mergeCell ref="AG15:AG18"/>
    <mergeCell ref="AG19:AG26"/>
    <mergeCell ref="AG27:AG29"/>
    <mergeCell ref="AG32:AG36"/>
    <mergeCell ref="W19:W20"/>
    <mergeCell ref="X27:X28"/>
    <mergeCell ref="Y27:Y28"/>
    <mergeCell ref="AA24:AA26"/>
    <mergeCell ref="AB24:AB26"/>
    <mergeCell ref="AD24:AD26"/>
    <mergeCell ref="V32:V36"/>
    <mergeCell ref="W32:W36"/>
    <mergeCell ref="Q53:Q57"/>
    <mergeCell ref="Q58:Q61"/>
    <mergeCell ref="K21:K22"/>
    <mergeCell ref="M21:M22"/>
    <mergeCell ref="N21:N22"/>
    <mergeCell ref="L21:L22"/>
    <mergeCell ref="P2:P7"/>
    <mergeCell ref="P53:P57"/>
    <mergeCell ref="P58:P61"/>
    <mergeCell ref="M60:M61"/>
    <mergeCell ref="K60:K61"/>
    <mergeCell ref="K19:K20"/>
    <mergeCell ref="J2:J7"/>
    <mergeCell ref="J8:J11"/>
    <mergeCell ref="J12:J14"/>
    <mergeCell ref="P49:P52"/>
    <mergeCell ref="AF15:AF16"/>
    <mergeCell ref="AF17:AF18"/>
    <mergeCell ref="AF19:AF20"/>
    <mergeCell ref="AF21:AF23"/>
    <mergeCell ref="AF24:AF27"/>
    <mergeCell ref="AF28:AF29"/>
    <mergeCell ref="AF38:AF48"/>
    <mergeCell ref="AF32:AF36"/>
    <mergeCell ref="Q2:Q7"/>
    <mergeCell ref="Q8:Q11"/>
    <mergeCell ref="Q12:Q14"/>
    <mergeCell ref="Q21:Q22"/>
    <mergeCell ref="Q30:Q31"/>
    <mergeCell ref="Q49:Q52"/>
    <mergeCell ref="V19:V20"/>
    <mergeCell ref="V15:V18"/>
    <mergeCell ref="W2:W14"/>
    <mergeCell ref="W15:W18"/>
    <mergeCell ref="W21:W23"/>
    <mergeCell ref="V2:V14"/>
  </mergeCells>
  <pageMargins left="0.70866141732283472" right="0.70866141732283472" top="0.74803149606299213" bottom="0.74803149606299213" header="0.31496062992125984" footer="0.31496062992125984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 Hong</dc:creator>
  <cp:lastModifiedBy>LUZ  MARINA SEVERICHE MONROY</cp:lastModifiedBy>
  <cp:lastPrinted>2020-01-14T16:47:13Z</cp:lastPrinted>
  <dcterms:created xsi:type="dcterms:W3CDTF">2019-01-11T19:04:00Z</dcterms:created>
  <dcterms:modified xsi:type="dcterms:W3CDTF">2020-07-29T22:19:40Z</dcterms:modified>
</cp:coreProperties>
</file>