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severiche.CARTAGENA\Desktop\PLANES DE ACCION\"/>
    </mc:Choice>
  </mc:AlternateContent>
  <bookViews>
    <workbookView xWindow="0" yWindow="0" windowWidth="20490" windowHeight="7755"/>
  </bookViews>
  <sheets>
    <sheet name="VALORIZACION" sheetId="1" r:id="rId1"/>
    <sheet name="DNP" sheetId="2" r:id="rId2"/>
    <sheet name="Hoja1" sheetId="3" r:id="rId3"/>
  </sheets>
  <externalReferences>
    <externalReference r:id="rId4"/>
  </externalReferences>
  <definedNames>
    <definedName name="_xlnm.Print_Area" localSheetId="0">VALORIZACION!$O$2:$AN$10</definedName>
  </definedNames>
  <calcPr calcId="152511" concurrentCalc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L7" i="1" l="1"/>
  <c r="L6" i="1"/>
  <c r="L9" i="1"/>
  <c r="W12" i="2"/>
  <c r="J12" i="2"/>
  <c r="Y11" i="2"/>
  <c r="X11" i="2"/>
  <c r="BO9" i="1"/>
  <c r="BQ9" i="1"/>
  <c r="BN9" i="1"/>
  <c r="BK9" i="1"/>
  <c r="AL9" i="1"/>
  <c r="AM9" i="1"/>
  <c r="AN9" i="1"/>
  <c r="Y9" i="1"/>
  <c r="S9" i="1"/>
  <c r="T9" i="1"/>
  <c r="R9" i="1"/>
  <c r="BR9" i="1"/>
  <c r="BT9" i="1"/>
  <c r="BU9" i="1"/>
  <c r="AK8" i="1"/>
  <c r="Z8" i="1"/>
  <c r="J4" i="1"/>
  <c r="K4" i="1"/>
  <c r="L4" i="1"/>
  <c r="AB7" i="1"/>
  <c r="AB6" i="1"/>
  <c r="AC6" i="1"/>
  <c r="AL6" i="1"/>
  <c r="AM6" i="1"/>
  <c r="AN6" i="1"/>
  <c r="AC7" i="1"/>
  <c r="AL7" i="1"/>
  <c r="AM7" i="1"/>
  <c r="AN7" i="1"/>
  <c r="Y6" i="1"/>
  <c r="Y7" i="1"/>
  <c r="T8" i="1"/>
  <c r="R7" i="1"/>
  <c r="S7" i="1"/>
  <c r="T7" i="1"/>
  <c r="R6" i="1"/>
  <c r="S6" i="1"/>
  <c r="T6" i="1"/>
  <c r="R5" i="1"/>
  <c r="S5" i="1"/>
  <c r="T5" i="1"/>
  <c r="S4" i="1"/>
  <c r="T4" i="1"/>
  <c r="R4" i="1"/>
  <c r="J8" i="1"/>
  <c r="K8" i="1"/>
  <c r="L8" i="1"/>
  <c r="J5" i="1"/>
  <c r="K5" i="1"/>
  <c r="L5" i="1"/>
  <c r="AA8" i="1"/>
  <c r="AV6" i="1"/>
  <c r="AW4" i="1"/>
  <c r="AE4" i="1"/>
  <c r="X5" i="1"/>
  <c r="Y5" i="1"/>
  <c r="X4" i="1"/>
  <c r="F7" i="2"/>
  <c r="E7" i="2"/>
  <c r="D7" i="2"/>
  <c r="A7" i="2"/>
  <c r="A6" i="2"/>
  <c r="F6" i="2"/>
  <c r="E6" i="2"/>
  <c r="D6" i="2"/>
  <c r="A5" i="2"/>
  <c r="A4" i="2"/>
  <c r="A3" i="2"/>
  <c r="P5" i="2"/>
  <c r="F5" i="2"/>
  <c r="E5" i="2"/>
  <c r="D5" i="2"/>
  <c r="P4" i="2"/>
  <c r="F4" i="2"/>
  <c r="E4" i="2"/>
  <c r="D4" i="2"/>
  <c r="F3" i="2"/>
  <c r="E3" i="2"/>
  <c r="D3" i="2"/>
  <c r="A2" i="2"/>
  <c r="C2" i="2"/>
  <c r="F2" i="2"/>
  <c r="E2" i="2"/>
  <c r="D2" i="2"/>
  <c r="BK5" i="1"/>
  <c r="BD5" i="1"/>
  <c r="BD4" i="1"/>
  <c r="BN8" i="1"/>
  <c r="BO8" i="1"/>
  <c r="BQ8" i="1"/>
  <c r="BN7" i="1"/>
  <c r="BO7" i="1"/>
  <c r="BQ7" i="1"/>
  <c r="BR4" i="1"/>
  <c r="BT4" i="1"/>
  <c r="BR5" i="1"/>
  <c r="BT5" i="1"/>
  <c r="BO5" i="1"/>
  <c r="BQ5" i="1"/>
  <c r="BO4" i="1"/>
  <c r="BQ4" i="1"/>
  <c r="BL5" i="1"/>
  <c r="BN5" i="1"/>
  <c r="BL4" i="1"/>
  <c r="BN4" i="1"/>
  <c r="BO6" i="1"/>
  <c r="BQ6" i="1"/>
  <c r="BN6" i="1"/>
  <c r="BK6" i="1"/>
  <c r="BK4" i="1"/>
  <c r="AK5" i="1"/>
  <c r="Z5" i="1"/>
  <c r="AB8" i="1"/>
  <c r="Y4" i="1"/>
  <c r="AC4" i="1"/>
  <c r="B4" i="2"/>
  <c r="C4" i="2"/>
  <c r="B7" i="2"/>
  <c r="C7" i="2"/>
  <c r="BR6" i="1"/>
  <c r="BT6" i="1"/>
  <c r="BU6" i="1"/>
  <c r="B3" i="2"/>
  <c r="C3" i="2"/>
  <c r="B5" i="2"/>
  <c r="C5" i="2"/>
  <c r="AJ4" i="1"/>
  <c r="BR8" i="1"/>
  <c r="BT8" i="1"/>
  <c r="BU8" i="1"/>
  <c r="BR7" i="1"/>
  <c r="BT7" i="1"/>
  <c r="BU7" i="1"/>
  <c r="AJ5" i="1"/>
  <c r="BU5" i="1"/>
  <c r="BU4" i="1"/>
  <c r="AA5" i="1"/>
  <c r="Z4" i="1"/>
  <c r="AK4" i="1"/>
  <c r="AC8" i="1"/>
  <c r="AL8" i="1"/>
  <c r="AM8" i="1"/>
  <c r="AN8" i="1"/>
  <c r="B6" i="2"/>
  <c r="C6" i="2"/>
  <c r="AA4" i="1"/>
  <c r="AB5" i="1"/>
  <c r="AB4" i="1"/>
  <c r="AC5" i="1"/>
  <c r="AL5" i="1"/>
  <c r="AM5" i="1"/>
  <c r="AN5" i="1"/>
  <c r="AL4" i="1"/>
  <c r="AM4" i="1"/>
  <c r="AN4" i="1"/>
</calcChain>
</file>

<file path=xl/sharedStrings.xml><?xml version="1.0" encoding="utf-8"?>
<sst xmlns="http://schemas.openxmlformats.org/spreadsheetml/2006/main" count="303" uniqueCount="251">
  <si>
    <t>ADAPTAR EL TERRITORIO PARA LA GENTE</t>
  </si>
  <si>
    <t>MEDIO AMBIENTE Y GESTION DEL RIESGO</t>
  </si>
  <si>
    <t>GESTION DEL RIESGO</t>
  </si>
  <si>
    <t>TERRITORIO SOSTENIBLE, ORDENADO, EQUITATIVO E INCLUYENTE</t>
  </si>
  <si>
    <t>kms de canales diseñados</t>
  </si>
  <si>
    <t>kms de canales construidos</t>
  </si>
  <si>
    <t>kms de Vias regionales construidas</t>
  </si>
  <si>
    <t>kms de Vias urbanas construidas</t>
  </si>
  <si>
    <t>kms de playas protegidas</t>
  </si>
  <si>
    <t>2 km de Construcción de Protección Costera</t>
  </si>
  <si>
    <t>Mts 2 de zonas de espacio público  construidas</t>
  </si>
  <si>
    <t>Construcción de 6,500 mts 2 de zonas  de espacio público (Zonas recreacionales, andenes, parques lineales )</t>
  </si>
  <si>
    <t xml:space="preserve"> Cartagena Competitiva y Compatible con el Clima 4C </t>
  </si>
  <si>
    <t>Elaborar UN Plan de recuperación de caños lagos y lagunas</t>
  </si>
  <si>
    <t>(13)OBSERVACIONES</t>
  </si>
  <si>
    <t>Trámite ante el ANLA de la Licencia ambiental para playetas y el proyecto Bicentenario, Protocolización en el marco del proyecto construcción de obras de protección Litoral y conexión vial en la isla de Barú en el sector de Mohán Playetas del parque Naural de Corales del Rosario y San Bernardo, con los corregimientos de Ararca, Santa Ana y Barú</t>
  </si>
  <si>
    <t>Revisión de la ingeniería de detalle para los canales Villa Rubia, Juan José Nieto, San Fernando (El Pilón), Alameda la Victoria y Emiliano alcalá,  Formulación de Coinstrucción de Revestimiento en Concreto rígido del Canal Emiliano Alcalá, Diseños de los proyectos: calle canal transv. 70 barrio los Alpes, canal 20 de Julio barrio Amberes y reconstrucción del canal El Campestre.</t>
  </si>
  <si>
    <t>Kilómetros de Plan de Drenajes Pluviales del Distrito de Cartagena realizado</t>
  </si>
  <si>
    <t>5,41 KM DE DISEÑO DE INGENIERIA DE DETALLE</t>
  </si>
  <si>
    <t>32.3 km  de diseños de ingeniería de detalle del Plan de drenajes pluviales 
(cuencas Matute y Ricaurte)</t>
  </si>
  <si>
    <t xml:space="preserve"> 5.41 km de construccion y revestimiento en Concreto Rígido de canales del Plan de drenajes pluviales,       </t>
  </si>
  <si>
    <t xml:space="preserve">2.55 km de construcción y revestimiento en Concreto Rígido,      </t>
  </si>
  <si>
    <t>Diseño de Ingenieria de detalle del Plan de Drenajes</t>
  </si>
  <si>
    <t>Construccion de canales en el plan de Drenajes</t>
  </si>
  <si>
    <t>37 km de vias regionales ,                            3,96 km de vías urbanas        y              2500 m2 de espacio público           ( Fuente: Valorizacion 2015)</t>
  </si>
  <si>
    <t>Construccion de vias regionales</t>
  </si>
  <si>
    <t>Construcción de vias urbanas</t>
  </si>
  <si>
    <t>Construcción zonas de espacio público</t>
  </si>
  <si>
    <t>INDICADOR DE PRODUCTO</t>
  </si>
  <si>
    <t>5.41 kms de diseño de ingeniería de detalle del Plan de Drenajes pluviales. (Fuente Valorizacion 2015)</t>
  </si>
  <si>
    <t>2.55 kms de construcción y revestimiento en concreto rígido de canales del Plan de Drenajes pluviales</t>
  </si>
  <si>
    <t>37 km de vias regionales 
( Fuente: Valorizacion 2015)</t>
  </si>
  <si>
    <t>3,96 km de vías urbanas</t>
  </si>
  <si>
    <t>2500 m2 de espacio público</t>
  </si>
  <si>
    <t>Valor esperado 2016</t>
  </si>
  <si>
    <t>Valor esperado 2017</t>
  </si>
  <si>
    <t>Valor esperado 2018</t>
  </si>
  <si>
    <t>Valor esperado 2019</t>
  </si>
  <si>
    <t>Plan de Renovación Urbana Sistema de Lagos, caños internos  y Ciénaga de la Virgen formulado, adoptado e implementado</t>
  </si>
  <si>
    <t>Kms de vias regionales construidas</t>
  </si>
  <si>
    <t>TIPO DE META</t>
  </si>
  <si>
    <t>SECTOR</t>
  </si>
  <si>
    <t>COD SECTOR</t>
  </si>
  <si>
    <t>Ambiental</t>
  </si>
  <si>
    <t>A.10</t>
  </si>
  <si>
    <t>Equipamiento</t>
  </si>
  <si>
    <t>A, 15</t>
  </si>
  <si>
    <t>RESPONSABLE</t>
  </si>
  <si>
    <t>SUBDIRECTOR TECNICO  EDUARDO SAIMANCAS CASTAÑO</t>
  </si>
  <si>
    <t xml:space="preserve"> Regalías 2016</t>
  </si>
  <si>
    <t xml:space="preserve"> Total 2016 (miles)</t>
  </si>
  <si>
    <t>Recursos Propios 2017</t>
  </si>
  <si>
    <t>Recursos Propios 2019</t>
  </si>
  <si>
    <t xml:space="preserve"> Regalías 2017</t>
  </si>
  <si>
    <t xml:space="preserve"> Total 2017 (miles)</t>
  </si>
  <si>
    <t>Recursos Propios 2018</t>
  </si>
  <si>
    <t xml:space="preserve"> Regalías 2019</t>
  </si>
  <si>
    <t xml:space="preserve"> Regalías 2018</t>
  </si>
  <si>
    <t xml:space="preserve"> Total 2018 (miles)</t>
  </si>
  <si>
    <t xml:space="preserve"> Total 2019 (miles)</t>
  </si>
  <si>
    <t>Calle canal entre la transv. 70 y 71 del barrio Los Alpes</t>
  </si>
  <si>
    <t>Construcción zona verde y parque adyacente canal Emiliano Alcalá</t>
  </si>
  <si>
    <t>SGP Libre Inversion 2016</t>
  </si>
  <si>
    <t>TOTAL CUATRIENIO</t>
  </si>
  <si>
    <t>Transporte</t>
  </si>
  <si>
    <t>Apoyo en el proyecto de limpieza de canales de cartagena. Se construirá la calle canal transv. 70 barrio los Alpes, el canal 20 de Julio barrio Amberes y la reconstrucción del canal El Campestre.                                                                                                                                                                                                                               Inicio del canal Emiliano Alcalá con un costo de doce mil quinientos millones de pesos($12,500,000,000,oo), el cual se financierá con recursos del SGR. Se solicitó ajuste para el proyecto canal santa clara por valor de $752,315,670</t>
  </si>
  <si>
    <t>Construccion de 3.38 kms de canales</t>
  </si>
  <si>
    <t>Diseño  de ingenieria detallada de 17.71  kms de canales</t>
  </si>
  <si>
    <t>PLAN DE DRENAJES PLUVIALES</t>
  </si>
  <si>
    <t>EQUIPAMIENTOS PARA LA COMPETITIVIDAD</t>
  </si>
  <si>
    <t>Incrementar en 25% los vías regionales, 50% de vías urbanas y 60% en m2 de espacio público</t>
  </si>
  <si>
    <t>Construcción de 5,96 kms de vias urbanas</t>
  </si>
  <si>
    <t>Construcción de 46,25 kms de vias regionales</t>
  </si>
  <si>
    <t>Trámite de la licencia Ambiental ante el ANLA, para retomar la construcción de la vía transversal Barú desde Playetas hasta Barú ty construcción de 1 km de vía regional.
SE HACE LA OBSERVACION: 46,25-37=9,25 ESTA SERIA LA META PRODUCTO A LOS CUATRO AÑOS</t>
  </si>
  <si>
    <t>Código Meta Resultado</t>
  </si>
  <si>
    <t># Producto</t>
  </si>
  <si>
    <t>Código Producto</t>
  </si>
  <si>
    <t>Código Resultado Indirecto 1</t>
  </si>
  <si>
    <t>Código Resultado Indirecto 2</t>
  </si>
  <si>
    <t>Programa</t>
  </si>
  <si>
    <t>Descripción Meta Resultado Principal</t>
  </si>
  <si>
    <t>Indicador de Resultado</t>
  </si>
  <si>
    <t xml:space="preserve"> Línea Base  Resultado</t>
  </si>
  <si>
    <t xml:space="preserve"> Meta  Resultado Cuatrenio 2019</t>
  </si>
  <si>
    <t>Descripción Meta Resultado Indirecto 1</t>
  </si>
  <si>
    <t>Descripción Meta Resultado Indirecto 2</t>
  </si>
  <si>
    <t>Descripción Meta Producto</t>
  </si>
  <si>
    <t>Indicador de Producto</t>
  </si>
  <si>
    <t>Línea Base Producto</t>
  </si>
  <si>
    <t>Meta Producto cuatrenio</t>
  </si>
  <si>
    <t>Orientación de la meta de producto</t>
  </si>
  <si>
    <t>Sector</t>
  </si>
  <si>
    <t>CodSec</t>
  </si>
  <si>
    <t>ODS de Producto</t>
  </si>
  <si>
    <t>Responsable</t>
  </si>
  <si>
    <t>Valor Esperado 2016</t>
  </si>
  <si>
    <t>Valor Esperado 2017</t>
  </si>
  <si>
    <t>Valor Esperado 2018</t>
  </si>
  <si>
    <t>Valor Esperado 2019</t>
  </si>
  <si>
    <t>Cofinanciación Departamento 2016</t>
  </si>
  <si>
    <t>Cofinanciación Nacion 2016</t>
  </si>
  <si>
    <t>Credito 2016</t>
  </si>
  <si>
    <t>Otros 2016</t>
  </si>
  <si>
    <t>Recursos Propios 2016</t>
  </si>
  <si>
    <t>SGP Alimentacion Escolar 2016</t>
  </si>
  <si>
    <t>SGP APSB 2016</t>
  </si>
  <si>
    <t>SGP Cultura 2016</t>
  </si>
  <si>
    <t>SGP Deporte 2016</t>
  </si>
  <si>
    <t>SGP Educacion 2016</t>
  </si>
  <si>
    <t>SGP Libre Destinación 42% Mpios 4, 5 y 6 Cat 2016</t>
  </si>
  <si>
    <t>SGP Municipios Rio Magdalena 2016</t>
  </si>
  <si>
    <t xml:space="preserve"> SGP Salud 2016</t>
  </si>
  <si>
    <t>Cofinanciación Departamental 2017</t>
  </si>
  <si>
    <t>Cofinanciación Nacion 2017</t>
  </si>
  <si>
    <t>Credito 2017</t>
  </si>
  <si>
    <t>Otros 2017</t>
  </si>
  <si>
    <t>SGP Alimentacion Escolar 2017</t>
  </si>
  <si>
    <t>SGP APSB 2017</t>
  </si>
  <si>
    <t>SGP Cultura 2017</t>
  </si>
  <si>
    <t xml:space="preserve"> SGP Deporte 2017</t>
  </si>
  <si>
    <t xml:space="preserve"> SGP Educacion 2017</t>
  </si>
  <si>
    <t>SGP Libre Destinación 42% Mpios 4, 5 y 6 Cat 2017</t>
  </si>
  <si>
    <t xml:space="preserve"> SGP Libre Inversion 2017</t>
  </si>
  <si>
    <t>SGP Municipios Rio Magdalena 2017</t>
  </si>
  <si>
    <t>SGP Salud 2017</t>
  </si>
  <si>
    <t>Regalías 2017</t>
  </si>
  <si>
    <t>Total 2017 (miles)</t>
  </si>
  <si>
    <t>Cofinanciación Departamental 2018</t>
  </si>
  <si>
    <t>Cofinanciación Nacion 2018</t>
  </si>
  <si>
    <t>Credito 2018</t>
  </si>
  <si>
    <t>Otros 2018</t>
  </si>
  <si>
    <t xml:space="preserve"> Recursos Propios 2018</t>
  </si>
  <si>
    <t xml:space="preserve"> SGP Alimentacion Escolar 2018</t>
  </si>
  <si>
    <t xml:space="preserve"> SGP APSB 2018</t>
  </si>
  <si>
    <t>SGP Cultura 2018</t>
  </si>
  <si>
    <t>SGP Deporte 2018</t>
  </si>
  <si>
    <t>SGP Educacion 2018</t>
  </si>
  <si>
    <t>SGP Libre Destinación 42% Mpios 4, 5 y 6 Cat 2018</t>
  </si>
  <si>
    <t>SGP Libre Inversion 2018</t>
  </si>
  <si>
    <t>SGP Municipios Rio Magdalena 2018</t>
  </si>
  <si>
    <t>SGP Salud 2018</t>
  </si>
  <si>
    <t>Regalías 2018</t>
  </si>
  <si>
    <t>Total 2018 (miles)</t>
  </si>
  <si>
    <t>Cofinanciación Departamental 2019</t>
  </si>
  <si>
    <t>Cofinanciación Nacion 2019</t>
  </si>
  <si>
    <t>Credito 2019</t>
  </si>
  <si>
    <t>Otros 2019</t>
  </si>
  <si>
    <t>SGP Alimentacion Escolar 2019</t>
  </si>
  <si>
    <t>SGP APSB 2019</t>
  </si>
  <si>
    <t>SGP Cultura 2019</t>
  </si>
  <si>
    <t>SGP Deporte 2019</t>
  </si>
  <si>
    <t>SGP Educacion 2019</t>
  </si>
  <si>
    <t>SGP Libre Destinación 42% Mpios 4, 5 y 6 Cat 2019</t>
  </si>
  <si>
    <t>SGP Libre Inversion 2019</t>
  </si>
  <si>
    <t>SGP Municipios Rio Magdalena 2019</t>
  </si>
  <si>
    <t>SGP Salud 2019</t>
  </si>
  <si>
    <t>Regalías 2019</t>
  </si>
  <si>
    <t>Total 2019 (miles)</t>
  </si>
  <si>
    <t>1. 32.3 km  de diseños de ingeniería de detalle del Plan de drenajes pluviales (cuencas Matute y Ricaurte)</t>
  </si>
  <si>
    <t>Incremento</t>
  </si>
  <si>
    <t>DEPARTAMENTO ADMINISTRATIVO DE VALORIZACION</t>
  </si>
  <si>
    <t xml:space="preserve">2. 5.41 km de construccion y revestimiento en Concreto Rígido de canales del Plan de drenajes pluviales,       </t>
  </si>
  <si>
    <t>5. Incrementar en 25% los vías regionales, 50% de vías urbanas y 60% en m2 de espacio público</t>
  </si>
  <si>
    <t xml:space="preserve">Equipamiento </t>
  </si>
  <si>
    <t>A.15</t>
  </si>
  <si>
    <t>3. Implementar Plan de Renovación Urbana Sistema de Lagos, caños internos  y Ciénaga de la Virgen</t>
  </si>
  <si>
    <t>Plan de recuperación de caños lagos y lagunas elaborado</t>
  </si>
  <si>
    <t>A.9</t>
  </si>
  <si>
    <t>OBSERVACIONES</t>
  </si>
  <si>
    <t>Apoyo en el proyecto de limpieza de canales de cartagena. Diseño ingeniería de detalle de la calle canal transv. 70 barrio los Alpes, el canal 20 de Julio barrio Amberes y la reconstrucción del canal El Campestre.                                                                                                                                                                                                                               Actualización del Diseño del canal Emiliano Alcalá y presentación a ocad para su financiación.</t>
  </si>
  <si>
    <t>En proceso de licitación y contratación de la Construcción y revestimiento del Canal Emiliano Alcalá, con un costo de doce mil quinientos millones de pesos($12,500,000,000,oo), el cual se financierá con recursos del SGR. Se solicitó ajuste a la OCAD para el proyecto canal santa clara por valor de $752,315,670</t>
  </si>
  <si>
    <t>PROYECTO</t>
  </si>
  <si>
    <t>NOMBRE</t>
  </si>
  <si>
    <t>VALOR A DICIEMBRE 2015</t>
  </si>
  <si>
    <t>VALOR A DICIEMBRE 2016</t>
  </si>
  <si>
    <t>VALOR ESPERADO 2017</t>
  </si>
  <si>
    <t>META PROYECTO 2017</t>
  </si>
  <si>
    <t>LINEA BASE META RESULTADO</t>
  </si>
  <si>
    <t xml:space="preserve"> CARTAGEMA SOSTENIBLE Y COMPETITIVA  </t>
  </si>
  <si>
    <t>Protección Costera de Playas</t>
  </si>
  <si>
    <t>Construcción de kms de vías Regionales</t>
  </si>
  <si>
    <t>Construcción de kms de vías Urbanas</t>
  </si>
  <si>
    <t>Construcción de zonas de Espacio Público (zonas Recreacionales, andenes, parques lineales)</t>
  </si>
  <si>
    <t>(8C) META PRODUCTO EJECUTADA A  DICIEMBRE 31 DE 2017</t>
  </si>
  <si>
    <t>VALOR A DICIEMBRE 31  2017</t>
  </si>
  <si>
    <t>(5C)META RESULTADO EJECUTADA A DICIEMBRE 31 DE 2017</t>
  </si>
  <si>
    <t>(5C)META RESULTADO EJECUTADA A DICIEMBRE 31 DE 2016</t>
  </si>
  <si>
    <t>(5C)META RESULTADO EJECUTADA A DICIEMBRE 31 DE 2015</t>
  </si>
  <si>
    <t xml:space="preserve"> (8B)META PRODUCTO EJECUTADA A DICIEMBRE 31 DE 2015</t>
  </si>
  <si>
    <t>(8C) META PRODUCTO EJECUTADA A DICIEMBRE 31 DE 2016</t>
  </si>
  <si>
    <t>Construccion de 2.86 kms de canales</t>
  </si>
  <si>
    <t>Diseño  de ingenieria detallada de 26.89  kms de canales</t>
  </si>
  <si>
    <t>VALOR ESPERADO 2018</t>
  </si>
  <si>
    <t>VALOR  ESPERADO 2016</t>
  </si>
  <si>
    <t>META PROYECTO 2018</t>
  </si>
  <si>
    <t xml:space="preserve">DESARROLLO URBANO PARA LA COMPETITIVIDAD </t>
  </si>
  <si>
    <t>Protección Costera</t>
  </si>
  <si>
    <t>(8C) META PRODUCTO EJECUTADA A  MARZO 31 DE 2018</t>
  </si>
  <si>
    <t>Kilómetros de Diseño de Ingeniería de detalle del Plan de Drenajes Pluviales del Distrito de Cartagena realizado</t>
  </si>
  <si>
    <t>Kilómetros de construcción y revestimiento en concreto rígido de canales del Plan de Drenajes Pluviales del Distrito de Cartagena realizado</t>
  </si>
  <si>
    <t>Kilómetros de construcción de Protección Costera realizado</t>
  </si>
  <si>
    <t>Kms de vías urbanas construidas</t>
  </si>
  <si>
    <t>M2 de zonas de espacio público (zonas recreacionales, andenes, parques lineales)</t>
  </si>
  <si>
    <t>0 km de construcción de Protección Costera realizado</t>
  </si>
  <si>
    <t>(8C) META PRODUCTO EJECUTADA A  JUNIO 30 DE 2018</t>
  </si>
  <si>
    <t>AVANCE METAS PRODUCTO SEGÚN PLANEACION</t>
  </si>
  <si>
    <t>(8C) META PRODUCTO EJECUTADA A  SEPTIEMBRE 30 DE 2018</t>
  </si>
  <si>
    <t>(5C)META RESULTADO EJECUTADA A DICIEMBRE 31 DE 2018</t>
  </si>
  <si>
    <t>VALOR ESPERADO 2019</t>
  </si>
  <si>
    <t>VALOR A DICIEMBRE 31 DE 2018</t>
  </si>
  <si>
    <t>OBJETIVO ESTRATEGICO</t>
  </si>
  <si>
    <t xml:space="preserve">EJE ESTRATEGICO </t>
  </si>
  <si>
    <t xml:space="preserve">LINEA ESTRATEGICA </t>
  </si>
  <si>
    <t>PROGRAMA</t>
  </si>
  <si>
    <t>META DE RESULTADO</t>
  </si>
  <si>
    <t>INDICADOR</t>
  </si>
  <si>
    <t>SUBPROGRAMA</t>
  </si>
  <si>
    <t>META PRODUCTO  PLAN DE DESARROLLO (CUATRENIO)</t>
  </si>
  <si>
    <t>LINEA BASE 2015</t>
  </si>
  <si>
    <t>VALOR A JUNIO 30 DE 2019</t>
  </si>
  <si>
    <t>VALOR A SEPTIEMBRE 30 DE 2019</t>
  </si>
  <si>
    <t>(8C) META PRODUCTO EJECUTADA A  DICIEMBRE 31 DE 2019</t>
  </si>
  <si>
    <t>(5C)META RESULTADO EJECUTADA A DICIEMBRE 31 DE 2019</t>
  </si>
  <si>
    <t>Construcción de 9,25 kms de vias regionales</t>
  </si>
  <si>
    <t>Construcción de 2.96 kms de vias urbanas</t>
  </si>
  <si>
    <t>Construcción de 4,000 mts 2 de zonas  de espacio público (Zonas recreacionales, andenes, parques lineales )</t>
  </si>
  <si>
    <t>Protección costera de 0,5  kms de playas</t>
  </si>
  <si>
    <t>ACUMULADO  META PRODUCTO                      09- 2019</t>
  </si>
  <si>
    <t>PEDRO JORGE REJTMAN OROZCO                    SUBDIRECTOR TECNICO</t>
  </si>
  <si>
    <t>Enero a Junio 30 de 2020</t>
  </si>
  <si>
    <t>Supervisión y seguimiento boxcoulvert Avenida 1a de Bocagrande</t>
  </si>
  <si>
    <t>Supervisión y seguimiento proyecto Protección costera Bocagrande - Túnel de Crespo y Playetas</t>
  </si>
  <si>
    <t>Diseños Fase II Solución Drenajes Pluviales Laguito-Bocagrande-Castillogrande</t>
  </si>
  <si>
    <t>Adecuación paso peatonal diferentes calles Pasacaballos</t>
  </si>
  <si>
    <t>Adecuación calles varias (aprox 1,5 km) en el corregimiento de Pasacaballos como cumplimiento compromisos de las Consultas Previas Vía Transversal Barú.
Interventoría y supervisión adecuación vías Pasacaballos.</t>
  </si>
  <si>
    <t>Supervisión y seguimiento construcción de los kilómetros faltantes de la Vía Transversal Barú,
Recuperación cuepos de agua Ciénaga Las Salinas.</t>
  </si>
  <si>
    <t>Presupuesto</t>
  </si>
  <si>
    <t>Rubro</t>
  </si>
  <si>
    <t>Fuente</t>
  </si>
  <si>
    <t>Rendimientos Financieros -Valorización</t>
  </si>
  <si>
    <t>ICLD - Dividendos de Acuacar</t>
  </si>
  <si>
    <t>ICLD</t>
  </si>
  <si>
    <t>02-023-06-20-02-04-02-01</t>
  </si>
  <si>
    <t>02-001-06-20-02-04-02-02</t>
  </si>
  <si>
    <t>02-001-06-20-02-07-01-02</t>
  </si>
  <si>
    <t>02-001-06-20-02-07-01-03</t>
  </si>
  <si>
    <t>02-001-06-20-02-07-01-04</t>
  </si>
  <si>
    <t>02-001-06-20-02-07-03-02</t>
  </si>
  <si>
    <t>META A EJECUTAR  2020</t>
  </si>
  <si>
    <t>PLAN DE ACCION DEPARTAMENTO ADMINISTRATIVO DE VALORIZACION 2020</t>
  </si>
  <si>
    <t>Cronograma Programado 2020 EN MESES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</si>
</sst>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\ * #,##0.00_);_(&quot;$&quot;\ * \(#,##0.00\);_(&quot;$&quot;\ * &quot;-&quot;??_);_(@_)"/>
    <numFmt numFmtId="165" formatCode="_(* #,##0.00_);_(* \(#,##0.00\);_(* &quot;-&quot;??_);_(@_)"/>
    <numFmt numFmtId="166" formatCode="_(* #,##0_);_(* \(#,##0\);_(* &quot;-&quot;??_);_(@_)"/>
    <numFmt numFmtId="167" formatCode="0.0"/>
    <numFmt numFmtId="168" formatCode="0.000"/>
    <numFmt numFmtId="169" formatCode="0.00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Arial"/>
      <family val="2"/>
    </font>
    <font>
      <sz val="11"/>
      <color indexed="8"/>
      <name val="Calibri"/>
      <family val="2"/>
    </font>
    <font>
      <b/>
      <sz val="14"/>
      <color theme="1"/>
      <name val="Calibri"/>
      <family val="2"/>
      <scheme val="minor"/>
    </font>
    <font>
      <sz val="11"/>
      <name val="Calibri"/>
      <family val="2"/>
    </font>
    <font>
      <sz val="11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5" tint="-0.499984740745262"/>
      </left>
      <right style="thin">
        <color theme="5" tint="-0.499984740745262"/>
      </right>
      <top style="thin">
        <color theme="5" tint="-0.499984740745262"/>
      </top>
      <bottom/>
      <diagonal/>
    </border>
    <border>
      <left style="thin">
        <color theme="5" tint="-0.499984740745262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theme="5" tint="-0.499984740745262"/>
      </right>
      <top style="thin">
        <color theme="5" tint="-0.499984740745262"/>
      </top>
      <bottom/>
      <diagonal/>
    </border>
    <border>
      <left/>
      <right style="thin">
        <color theme="5" tint="-0.499984740745262"/>
      </right>
      <top style="thin">
        <color theme="5" tint="-0.499984740745262"/>
      </top>
      <bottom/>
      <diagonal/>
    </border>
    <border>
      <left style="thin">
        <color theme="5" tint="-0.499984740745262"/>
      </left>
      <right/>
      <top style="thin">
        <color theme="5" tint="-0.499984740745262"/>
      </top>
      <bottom/>
      <diagonal/>
    </border>
  </borders>
  <cellStyleXfs count="27">
    <xf numFmtId="0" fontId="0" fillId="0" borderId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8" fillId="0" borderId="0"/>
    <xf numFmtId="9" fontId="9" fillId="0" borderId="0">
      <alignment vertical="top"/>
      <protection locked="0"/>
    </xf>
    <xf numFmtId="44" fontId="9" fillId="0" borderId="0">
      <alignment vertical="top"/>
      <protection locked="0"/>
    </xf>
    <xf numFmtId="43" fontId="9" fillId="0" borderId="0">
      <alignment vertical="top"/>
      <protection locked="0"/>
    </xf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9" fillId="0" borderId="0">
      <alignment vertical="top"/>
      <protection locked="0"/>
    </xf>
    <xf numFmtId="43" fontId="9" fillId="0" borderId="0">
      <alignment vertical="top"/>
      <protection locked="0"/>
    </xf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180">
    <xf numFmtId="0" fontId="0" fillId="0" borderId="0" xfId="0"/>
    <xf numFmtId="164" fontId="0" fillId="0" borderId="1" xfId="1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/>
    <xf numFmtId="0" fontId="0" fillId="0" borderId="2" xfId="0" applyBorder="1" applyAlignment="1">
      <alignment vertical="center" wrapText="1"/>
    </xf>
    <xf numFmtId="0" fontId="0" fillId="0" borderId="0" xfId="0"/>
    <xf numFmtId="0" fontId="0" fillId="0" borderId="2" xfId="0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1" xfId="0" applyBorder="1" applyAlignment="1">
      <alignment horizontal="left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3" borderId="1" xfId="0" applyFill="1" applyBorder="1" applyAlignment="1">
      <alignment horizontal="center" vertical="center" wrapText="1"/>
    </xf>
    <xf numFmtId="166" fontId="0" fillId="0" borderId="1" xfId="2" applyNumberFormat="1" applyFont="1" applyFill="1" applyBorder="1" applyAlignment="1">
      <alignment horizontal="center" vertical="center" wrapText="1"/>
    </xf>
    <xf numFmtId="165" fontId="0" fillId="0" borderId="1" xfId="2" applyFont="1" applyFill="1" applyBorder="1" applyAlignment="1">
      <alignment horizontal="center" vertical="center" wrapText="1"/>
    </xf>
    <xf numFmtId="166" fontId="0" fillId="0" borderId="1" xfId="0" applyNumberFormat="1" applyFill="1" applyBorder="1" applyAlignment="1">
      <alignment horizontal="center" vertical="center" wrapText="1"/>
    </xf>
    <xf numFmtId="165" fontId="0" fillId="0" borderId="1" xfId="0" applyNumberFormat="1" applyFill="1" applyBorder="1" applyAlignment="1">
      <alignment horizontal="center" vertical="center" wrapText="1"/>
    </xf>
    <xf numFmtId="37" fontId="0" fillId="0" borderId="2" xfId="2" applyNumberFormat="1" applyFont="1" applyBorder="1" applyAlignment="1">
      <alignment vertical="center" wrapText="1"/>
    </xf>
    <xf numFmtId="37" fontId="0" fillId="0" borderId="1" xfId="2" applyNumberFormat="1" applyFont="1" applyBorder="1" applyAlignment="1">
      <alignment vertical="center" wrapText="1"/>
    </xf>
    <xf numFmtId="37" fontId="0" fillId="0" borderId="1" xfId="2" applyNumberFormat="1" applyFont="1" applyBorder="1" applyAlignment="1">
      <alignment horizontal="center" vertical="center" wrapText="1"/>
    </xf>
    <xf numFmtId="37" fontId="0" fillId="0" borderId="1" xfId="2" applyNumberFormat="1" applyFont="1" applyBorder="1" applyAlignment="1">
      <alignment vertical="center"/>
    </xf>
    <xf numFmtId="165" fontId="0" fillId="0" borderId="2" xfId="2" applyFont="1" applyBorder="1" applyAlignment="1">
      <alignment vertical="center" wrapText="1"/>
    </xf>
    <xf numFmtId="166" fontId="0" fillId="0" borderId="2" xfId="0" applyNumberFormat="1" applyBorder="1" applyAlignment="1">
      <alignment vertical="center" wrapText="1"/>
    </xf>
    <xf numFmtId="166" fontId="0" fillId="0" borderId="2" xfId="2" applyNumberFormat="1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165" fontId="0" fillId="0" borderId="1" xfId="2" applyFont="1" applyBorder="1" applyAlignment="1">
      <alignment vertical="center" wrapText="1"/>
    </xf>
    <xf numFmtId="166" fontId="0" fillId="0" borderId="1" xfId="0" applyNumberFormat="1" applyBorder="1" applyAlignment="1">
      <alignment vertical="center" wrapText="1"/>
    </xf>
    <xf numFmtId="166" fontId="0" fillId="0" borderId="1" xfId="2" applyNumberFormat="1" applyFont="1" applyBorder="1" applyAlignment="1">
      <alignment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0" fillId="0" borderId="3" xfId="0" applyBorder="1" applyAlignment="1">
      <alignment vertical="center"/>
    </xf>
    <xf numFmtId="0" fontId="0" fillId="0" borderId="1" xfId="0" applyFill="1" applyBorder="1" applyAlignment="1">
      <alignment vertical="center"/>
    </xf>
    <xf numFmtId="0" fontId="0" fillId="0" borderId="3" xfId="0" applyFill="1" applyBorder="1" applyAlignment="1">
      <alignment vertical="center"/>
    </xf>
    <xf numFmtId="0" fontId="0" fillId="0" borderId="3" xfId="0" applyFill="1" applyBorder="1" applyAlignment="1" applyProtection="1">
      <alignment vertical="center"/>
    </xf>
    <xf numFmtId="0" fontId="0" fillId="0" borderId="1" xfId="0" applyBorder="1" applyAlignment="1">
      <alignment vertical="center"/>
    </xf>
    <xf numFmtId="0" fontId="0" fillId="0" borderId="1" xfId="0" applyFill="1" applyBorder="1" applyAlignment="1" applyProtection="1">
      <alignment vertical="center"/>
    </xf>
    <xf numFmtId="0" fontId="0" fillId="0" borderId="11" xfId="0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 wrapText="1"/>
    </xf>
    <xf numFmtId="0" fontId="0" fillId="0" borderId="0" xfId="0" applyFill="1" applyBorder="1"/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wrapText="1"/>
    </xf>
    <xf numFmtId="0" fontId="0" fillId="5" borderId="1" xfId="0" applyFill="1" applyBorder="1" applyAlignment="1">
      <alignment vertical="center" wrapText="1"/>
    </xf>
    <xf numFmtId="0" fontId="0" fillId="0" borderId="0" xfId="0"/>
    <xf numFmtId="0" fontId="0" fillId="0" borderId="1" xfId="0" applyBorder="1" applyAlignment="1">
      <alignment vertical="center" wrapText="1"/>
    </xf>
    <xf numFmtId="0" fontId="0" fillId="0" borderId="1" xfId="0" applyFill="1" applyBorder="1" applyAlignment="1">
      <alignment vertical="center" wrapText="1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14" xfId="0" applyBorder="1" applyAlignment="1">
      <alignment vertical="center" wrapText="1"/>
    </xf>
    <xf numFmtId="0" fontId="0" fillId="0" borderId="14" xfId="0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1" xfId="0" applyFill="1" applyBorder="1" applyAlignment="1">
      <alignment vertical="center" wrapText="1"/>
    </xf>
    <xf numFmtId="0" fontId="0" fillId="0" borderId="10" xfId="0" applyFill="1" applyBorder="1" applyAlignment="1">
      <alignment horizontal="center" vertical="center" wrapText="1"/>
    </xf>
    <xf numFmtId="0" fontId="0" fillId="0" borderId="11" xfId="0" applyFill="1" applyBorder="1" applyAlignment="1">
      <alignment horizontal="left" vertical="center" wrapText="1"/>
    </xf>
    <xf numFmtId="0" fontId="0" fillId="0" borderId="11" xfId="0" applyFill="1" applyBorder="1" applyAlignment="1">
      <alignment wrapText="1"/>
    </xf>
    <xf numFmtId="0" fontId="0" fillId="0" borderId="1" xfId="0" quotePrefix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67" fontId="0" fillId="0" borderId="11" xfId="0" applyNumberFormat="1" applyFill="1" applyBorder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68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2" fontId="0" fillId="0" borderId="2" xfId="0" applyNumberForma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2" fontId="0" fillId="0" borderId="2" xfId="0" applyNumberFormat="1" applyBorder="1" applyAlignment="1">
      <alignment horizontal="center" vertical="center" wrapText="1"/>
    </xf>
    <xf numFmtId="37" fontId="0" fillId="0" borderId="2" xfId="2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37" fontId="0" fillId="4" borderId="2" xfId="0" applyNumberFormat="1" applyFill="1" applyBorder="1" applyAlignment="1">
      <alignment horizontal="center" vertical="center"/>
    </xf>
    <xf numFmtId="37" fontId="0" fillId="0" borderId="2" xfId="0" applyNumberFormat="1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9" fontId="0" fillId="0" borderId="1" xfId="0" applyNumberFormat="1" applyBorder="1" applyAlignment="1">
      <alignment horizontal="center" vertical="center" wrapText="1"/>
    </xf>
    <xf numFmtId="169" fontId="0" fillId="0" borderId="0" xfId="0" applyNumberForma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9" fontId="0" fillId="0" borderId="0" xfId="0" applyNumberFormat="1"/>
    <xf numFmtId="9" fontId="0" fillId="0" borderId="1" xfId="4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69" fontId="0" fillId="0" borderId="2" xfId="0" applyNumberFormat="1" applyBorder="1" applyAlignment="1">
      <alignment horizontal="center" vertical="center" wrapText="1"/>
    </xf>
    <xf numFmtId="164" fontId="0" fillId="0" borderId="0" xfId="0" applyNumberFormat="1"/>
    <xf numFmtId="9" fontId="0" fillId="0" borderId="2" xfId="4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168" fontId="0" fillId="0" borderId="2" xfId="0" applyNumberFormat="1" applyBorder="1" applyAlignment="1">
      <alignment horizontal="center" vertical="center" wrapText="1"/>
    </xf>
    <xf numFmtId="169" fontId="0" fillId="0" borderId="2" xfId="0" applyNumberFormat="1" applyFill="1" applyBorder="1" applyAlignment="1">
      <alignment horizontal="center" vertical="center" wrapText="1"/>
    </xf>
    <xf numFmtId="2" fontId="0" fillId="0" borderId="2" xfId="0" applyNumberFormat="1" applyFill="1" applyBorder="1" applyAlignment="1">
      <alignment horizontal="center" vertical="center" wrapText="1"/>
    </xf>
    <xf numFmtId="168" fontId="0" fillId="0" borderId="2" xfId="0" applyNumberFormat="1" applyFill="1" applyBorder="1" applyAlignment="1">
      <alignment horizontal="center" vertical="center" wrapText="1"/>
    </xf>
    <xf numFmtId="9" fontId="0" fillId="0" borderId="1" xfId="0" applyNumberFormat="1" applyFill="1" applyBorder="1" applyAlignment="1">
      <alignment horizontal="center" vertical="center" wrapText="1"/>
    </xf>
    <xf numFmtId="0" fontId="0" fillId="0" borderId="1" xfId="0" quotePrefix="1" applyFill="1" applyBorder="1" applyAlignment="1">
      <alignment horizontal="center" vertical="center" wrapText="1"/>
    </xf>
    <xf numFmtId="9" fontId="0" fillId="0" borderId="1" xfId="0" quotePrefix="1" applyNumberForma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" fillId="0" borderId="16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vertical="center" wrapText="1"/>
    </xf>
    <xf numFmtId="0" fontId="0" fillId="0" borderId="0" xfId="0"/>
    <xf numFmtId="0" fontId="1" fillId="0" borderId="8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169" fontId="0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Fill="1" applyBorder="1" applyAlignment="1">
      <alignment wrapText="1"/>
    </xf>
    <xf numFmtId="0" fontId="3" fillId="0" borderId="0" xfId="0" applyFont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169" fontId="0" fillId="0" borderId="3" xfId="0" applyNumberFormat="1" applyFont="1" applyFill="1" applyBorder="1" applyAlignment="1">
      <alignment horizontal="center" vertical="center" wrapText="1"/>
    </xf>
    <xf numFmtId="169" fontId="0" fillId="0" borderId="3" xfId="0" applyNumberFormat="1" applyFill="1" applyBorder="1" applyAlignment="1">
      <alignment horizontal="center" vertical="center" wrapText="1"/>
    </xf>
    <xf numFmtId="0" fontId="0" fillId="0" borderId="3" xfId="0" applyFill="1" applyBorder="1" applyAlignment="1">
      <alignment vertical="center" wrapText="1"/>
    </xf>
    <xf numFmtId="2" fontId="0" fillId="0" borderId="5" xfId="0" applyNumberFormat="1" applyBorder="1" applyAlignment="1">
      <alignment horizontal="center" vertical="center" wrapText="1"/>
    </xf>
    <xf numFmtId="2" fontId="0" fillId="0" borderId="5" xfId="0" applyNumberForma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18" xfId="0" applyFont="1" applyFill="1" applyBorder="1" applyAlignment="1">
      <alignment vertical="center" wrapText="1"/>
    </xf>
    <xf numFmtId="0" fontId="5" fillId="0" borderId="12" xfId="0" applyFont="1" applyFill="1" applyBorder="1" applyAlignment="1">
      <alignment vertical="center" wrapText="1"/>
    </xf>
    <xf numFmtId="0" fontId="5" fillId="0" borderId="13" xfId="0" applyFont="1" applyFill="1" applyBorder="1" applyAlignment="1">
      <alignment vertical="center" wrapText="1"/>
    </xf>
    <xf numFmtId="0" fontId="5" fillId="0" borderId="5" xfId="0" applyFont="1" applyFill="1" applyBorder="1" applyAlignment="1">
      <alignment vertical="center" wrapText="1"/>
    </xf>
    <xf numFmtId="0" fontId="0" fillId="0" borderId="15" xfId="0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0" fillId="0" borderId="0" xfId="0" applyFill="1"/>
    <xf numFmtId="0" fontId="3" fillId="0" borderId="0" xfId="0" applyFont="1" applyAlignment="1">
      <alignment horizontal="center" vertical="center"/>
    </xf>
    <xf numFmtId="0" fontId="0" fillId="6" borderId="2" xfId="0" applyFill="1" applyBorder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5" fillId="6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0" xfId="0" applyFont="1" applyAlignment="1">
      <alignment horizontal="center" vertical="center"/>
    </xf>
    <xf numFmtId="165" fontId="0" fillId="0" borderId="2" xfId="2" applyFont="1" applyBorder="1" applyAlignment="1">
      <alignment horizontal="center" vertical="center" wrapText="1"/>
    </xf>
    <xf numFmtId="165" fontId="0" fillId="0" borderId="1" xfId="2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2" fontId="0" fillId="6" borderId="3" xfId="0" applyNumberFormat="1" applyFill="1" applyBorder="1" applyAlignment="1">
      <alignment horizontal="center" vertical="center" wrapText="1"/>
    </xf>
    <xf numFmtId="2" fontId="0" fillId="6" borderId="1" xfId="0" applyNumberForma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49" fontId="0" fillId="0" borderId="5" xfId="0" applyNumberFormat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 wrapText="1"/>
    </xf>
    <xf numFmtId="49" fontId="0" fillId="0" borderId="5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5" xfId="0" applyBorder="1"/>
    <xf numFmtId="0" fontId="0" fillId="0" borderId="3" xfId="0" applyBorder="1"/>
    <xf numFmtId="166" fontId="0" fillId="0" borderId="2" xfId="0" applyNumberForma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165" fontId="0" fillId="0" borderId="2" xfId="0" applyNumberFormat="1" applyBorder="1" applyAlignment="1">
      <alignment horizontal="center" vertical="center" wrapText="1"/>
    </xf>
    <xf numFmtId="165" fontId="0" fillId="0" borderId="2" xfId="2" applyFont="1" applyBorder="1" applyAlignment="1">
      <alignment horizontal="center" vertical="center" wrapText="1"/>
    </xf>
    <xf numFmtId="165" fontId="0" fillId="0" borderId="5" xfId="2" applyFont="1" applyBorder="1" applyAlignment="1">
      <alignment horizontal="center" vertical="center" wrapText="1"/>
    </xf>
    <xf numFmtId="165" fontId="0" fillId="0" borderId="3" xfId="2" applyFont="1" applyBorder="1" applyAlignment="1">
      <alignment horizontal="center" vertical="center" wrapText="1"/>
    </xf>
  </cellXfs>
  <cellStyles count="27">
    <cellStyle name="Millares" xfId="2" builtinId="3"/>
    <cellStyle name="Millares 2" xfId="7"/>
    <cellStyle name="Millares 2 2" xfId="14"/>
    <cellStyle name="Millares 3" xfId="11"/>
    <cellStyle name="Millares 3 2" xfId="16"/>
    <cellStyle name="Moneda" xfId="1" builtinId="4"/>
    <cellStyle name="Moneda 2 10" xfId="26"/>
    <cellStyle name="Moneda 2 11" xfId="25"/>
    <cellStyle name="Moneda 2 12" xfId="23"/>
    <cellStyle name="Moneda 2 2" xfId="5"/>
    <cellStyle name="Moneda 2 3" xfId="19"/>
    <cellStyle name="Moneda 2 4" xfId="17"/>
    <cellStyle name="Moneda 2 5" xfId="18"/>
    <cellStyle name="Moneda 2 6" xfId="21"/>
    <cellStyle name="Moneda 2 7" xfId="22"/>
    <cellStyle name="Moneda 2 8" xfId="20"/>
    <cellStyle name="Moneda 2 9" xfId="24"/>
    <cellStyle name="Moneda 3" xfId="6"/>
    <cellStyle name="Moneda 3 2" xfId="13"/>
    <cellStyle name="Moneda 4" xfId="10"/>
    <cellStyle name="Moneda 4 2" xfId="15"/>
    <cellStyle name="Moneda 5" xfId="12"/>
    <cellStyle name="Normal" xfId="0" builtinId="0"/>
    <cellStyle name="Normal 2" xfId="8"/>
    <cellStyle name="Porcentaje" xfId="4" builtinId="5"/>
    <cellStyle name="Porcentaje 2" xfId="9"/>
    <cellStyle name="Porcentual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17</xdr:col>
      <xdr:colOff>57150</xdr:colOff>
      <xdr:row>38</xdr:row>
      <xdr:rowOff>76200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011150" cy="73152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0</xdr:colOff>
      <xdr:row>39</xdr:row>
      <xdr:rowOff>0</xdr:rowOff>
    </xdr:from>
    <xdr:to>
      <xdr:col>17</xdr:col>
      <xdr:colOff>57150</xdr:colOff>
      <xdr:row>77</xdr:row>
      <xdr:rowOff>76200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7429500"/>
          <a:ext cx="13011150" cy="73152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0</xdr:colOff>
      <xdr:row>78</xdr:row>
      <xdr:rowOff>0</xdr:rowOff>
    </xdr:from>
    <xdr:to>
      <xdr:col>17</xdr:col>
      <xdr:colOff>57150</xdr:colOff>
      <xdr:row>116</xdr:row>
      <xdr:rowOff>76200</xdr:rowOff>
    </xdr:to>
    <xdr:pic>
      <xdr:nvPicPr>
        <xdr:cNvPr id="1027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0" y="14859000"/>
          <a:ext cx="13011150" cy="73152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PLANES%20INDICATIVO%20OBJETIVO%203\VALORIZACION\Anexo-1-Plan-Indicativo%20VALORIZACION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s"/>
      <sheetName val="Instrucciones "/>
      <sheetName val="1_Metas_Resultados"/>
      <sheetName val="2_Metas_Producto_ y_ $"/>
      <sheetName val="3_Plan Indicativo"/>
      <sheetName val="PI_Ejec"/>
    </sheetNames>
    <sheetDataSet>
      <sheetData sheetId="0"/>
      <sheetData sheetId="1"/>
      <sheetData sheetId="2">
        <row r="4">
          <cell r="D4" t="str">
            <v>1. 32.3 km  de diseños de ingeniería de detalle del Plan de drenajes pluviales (cuencas Matute y Ricaurte)</v>
          </cell>
          <cell r="E4">
            <v>1</v>
          </cell>
          <cell r="F4" t="str">
            <v>Kilómetros de Plan de Drenajes Pluviales del Distrito de Cartagena realizado</v>
          </cell>
          <cell r="G4">
            <v>5.41</v>
          </cell>
          <cell r="H4">
            <v>32.299999999999997</v>
          </cell>
          <cell r="I4" t="str">
            <v>PLAN DE DRENAJES PLUVIALES</v>
          </cell>
        </row>
        <row r="5">
          <cell r="D5" t="str">
            <v xml:space="preserve">2. 5.41 km de construccion y revestimiento en Concreto Rígido de canales del Plan de drenajes pluviales,       </v>
          </cell>
          <cell r="E5">
            <v>2</v>
          </cell>
          <cell r="F5" t="str">
            <v>Kilómetros de Plan de Drenajes Pluviales del Distrito de Cartagena realizado</v>
          </cell>
          <cell r="G5">
            <v>2.5499999999999998</v>
          </cell>
          <cell r="H5">
            <v>5.41</v>
          </cell>
          <cell r="I5" t="str">
            <v>PLAN DE DRENAJES PLUVIALES</v>
          </cell>
        </row>
        <row r="6">
          <cell r="D6" t="str">
            <v>3. Implementar Plan de Renovación Urbana Sistema de Lagos, caños internos  y Ciénaga de la Virgen</v>
          </cell>
          <cell r="E6">
            <v>3</v>
          </cell>
          <cell r="F6" t="str">
            <v>Plan de Renovación Urbana Sistema de Lagos, caños internos  y Ciénaga de la Virgen formulado, adoptado e implementado</v>
          </cell>
          <cell r="G6">
            <v>1</v>
          </cell>
          <cell r="H6">
            <v>1</v>
          </cell>
          <cell r="I6" t="str">
            <v>SISTEMA DE LAGOS Y CAÑOS COMO SOPORTE ESTRUCTURAL DEL DESARROLLO DE LA CIUDAD Y SUS SISTEMAS DE ESPACIO PUBLICO, MOVILIDAD Y TRANSPORTE</v>
          </cell>
        </row>
        <row r="7">
          <cell r="D7" t="str">
            <v>4. 2 km de Construcción de Protección Costera</v>
          </cell>
          <cell r="E7">
            <v>4</v>
          </cell>
          <cell r="F7" t="str">
            <v>Kilómetros de Plan de Protección Costera realizado</v>
          </cell>
          <cell r="G7">
            <v>9.5</v>
          </cell>
          <cell r="H7">
            <v>2</v>
          </cell>
          <cell r="I7" t="str">
            <v xml:space="preserve">CARTAGEMA COMPETITIVA Y COMPATIBLE CON EL CLIMA 4C </v>
          </cell>
        </row>
        <row r="8">
          <cell r="D8" t="str">
            <v>5. Incrementar en 25% los vías regionales, 50% de vías urbanas y 60% en m2 de espacio público</v>
          </cell>
          <cell r="E8">
            <v>5</v>
          </cell>
          <cell r="F8" t="str">
            <v>Kms de vias regionales construidas</v>
          </cell>
          <cell r="G8">
            <v>37</v>
          </cell>
          <cell r="H8">
            <v>46.25</v>
          </cell>
          <cell r="I8" t="str">
            <v>EQUIPAMIENTOS PARA LA COMPETITIVIDAD</v>
          </cell>
        </row>
        <row r="9">
          <cell r="D9" t="str">
            <v>6. % del Distrito de Cartagena compatible y adaptada al cambio climático, para el año 2019</v>
          </cell>
          <cell r="E9">
            <v>6</v>
          </cell>
          <cell r="F9" t="str">
            <v>Distrito de Cartagena compatible y adaptado al cambio climático, para el año 2019</v>
          </cell>
          <cell r="G9">
            <v>0.01</v>
          </cell>
          <cell r="H9">
            <v>1</v>
          </cell>
          <cell r="I9" t="str">
            <v>CARTAGENA SOSTENIBLE Y COMPETITIVA</v>
          </cell>
        </row>
        <row r="10">
          <cell r="D10" t="str">
            <v/>
          </cell>
          <cell r="E10">
            <v>7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</row>
        <row r="11">
          <cell r="D11" t="str">
            <v/>
          </cell>
          <cell r="E11">
            <v>8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</row>
        <row r="12">
          <cell r="D12" t="str">
            <v/>
          </cell>
          <cell r="E12">
            <v>9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</row>
        <row r="13">
          <cell r="D13" t="str">
            <v/>
          </cell>
          <cell r="E13">
            <v>10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</row>
        <row r="14">
          <cell r="D14" t="str">
            <v/>
          </cell>
          <cell r="E14">
            <v>11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</row>
        <row r="15">
          <cell r="D15" t="str">
            <v/>
          </cell>
          <cell r="E15">
            <v>12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</row>
        <row r="16">
          <cell r="D16" t="str">
            <v/>
          </cell>
          <cell r="E16">
            <v>13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</row>
        <row r="17">
          <cell r="D17" t="str">
            <v/>
          </cell>
          <cell r="E17">
            <v>14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</row>
        <row r="18">
          <cell r="D18" t="str">
            <v/>
          </cell>
          <cell r="E18">
            <v>15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</row>
        <row r="19">
          <cell r="D19" t="str">
            <v/>
          </cell>
          <cell r="E19">
            <v>16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</row>
        <row r="20">
          <cell r="D20" t="str">
            <v/>
          </cell>
          <cell r="E20">
            <v>17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</row>
        <row r="21">
          <cell r="D21" t="str">
            <v/>
          </cell>
          <cell r="E21">
            <v>18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</row>
        <row r="22">
          <cell r="D22" t="str">
            <v/>
          </cell>
          <cell r="E22">
            <v>19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</row>
        <row r="23">
          <cell r="D23" t="str">
            <v/>
          </cell>
          <cell r="E23">
            <v>20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</row>
        <row r="24">
          <cell r="D24" t="str">
            <v/>
          </cell>
          <cell r="E24">
            <v>21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</row>
        <row r="25">
          <cell r="D25" t="str">
            <v/>
          </cell>
          <cell r="E25">
            <v>22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</row>
        <row r="26">
          <cell r="D26" t="str">
            <v/>
          </cell>
          <cell r="E26">
            <v>23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</row>
        <row r="27">
          <cell r="D27" t="str">
            <v/>
          </cell>
          <cell r="E27">
            <v>24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</row>
        <row r="28">
          <cell r="D28" t="str">
            <v/>
          </cell>
          <cell r="E28">
            <v>25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</row>
        <row r="29">
          <cell r="D29" t="str">
            <v/>
          </cell>
          <cell r="E29">
            <v>26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</row>
        <row r="30">
          <cell r="D30" t="str">
            <v/>
          </cell>
          <cell r="E30">
            <v>27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</row>
        <row r="31">
          <cell r="D31" t="str">
            <v/>
          </cell>
          <cell r="E31">
            <v>28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</row>
        <row r="32">
          <cell r="D32" t="str">
            <v/>
          </cell>
          <cell r="E32">
            <v>29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</row>
        <row r="33">
          <cell r="D33" t="str">
            <v/>
          </cell>
          <cell r="E33">
            <v>30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</row>
        <row r="34">
          <cell r="D34" t="str">
            <v/>
          </cell>
          <cell r="E34">
            <v>31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</row>
        <row r="35">
          <cell r="D35" t="str">
            <v/>
          </cell>
          <cell r="E35">
            <v>32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</row>
        <row r="36">
          <cell r="D36" t="str">
            <v/>
          </cell>
          <cell r="E36">
            <v>33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</row>
        <row r="37">
          <cell r="D37" t="str">
            <v/>
          </cell>
          <cell r="E37">
            <v>34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</row>
        <row r="38">
          <cell r="D38" t="str">
            <v/>
          </cell>
          <cell r="E38">
            <v>35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</row>
        <row r="39">
          <cell r="D39" t="str">
            <v/>
          </cell>
          <cell r="E39">
            <v>36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</row>
        <row r="40">
          <cell r="D40" t="str">
            <v/>
          </cell>
          <cell r="E40">
            <v>37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</row>
        <row r="41">
          <cell r="D41" t="str">
            <v/>
          </cell>
          <cell r="E41">
            <v>38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</row>
        <row r="42">
          <cell r="D42" t="str">
            <v/>
          </cell>
          <cell r="E42">
            <v>39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</row>
        <row r="43">
          <cell r="D43" t="str">
            <v/>
          </cell>
          <cell r="E43">
            <v>40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</row>
        <row r="44">
          <cell r="D44" t="str">
            <v/>
          </cell>
          <cell r="E44">
            <v>41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</row>
        <row r="45">
          <cell r="D45" t="str">
            <v/>
          </cell>
          <cell r="E45">
            <v>42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</row>
        <row r="46">
          <cell r="D46" t="str">
            <v/>
          </cell>
          <cell r="E46">
            <v>43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</row>
        <row r="47">
          <cell r="D47" t="str">
            <v/>
          </cell>
          <cell r="E47">
            <v>44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</row>
        <row r="48">
          <cell r="D48" t="str">
            <v/>
          </cell>
          <cell r="E48">
            <v>45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</row>
        <row r="49">
          <cell r="D49" t="str">
            <v/>
          </cell>
          <cell r="E49">
            <v>46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</row>
        <row r="50">
          <cell r="D50" t="str">
            <v/>
          </cell>
          <cell r="E50">
            <v>47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</row>
        <row r="51">
          <cell r="D51" t="str">
            <v/>
          </cell>
          <cell r="E51">
            <v>48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</row>
        <row r="52">
          <cell r="D52" t="str">
            <v/>
          </cell>
          <cell r="E52">
            <v>49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</row>
        <row r="53">
          <cell r="D53" t="str">
            <v/>
          </cell>
          <cell r="E53">
            <v>50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</row>
        <row r="54">
          <cell r="D54" t="str">
            <v/>
          </cell>
          <cell r="E54">
            <v>51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</row>
        <row r="55">
          <cell r="D55" t="str">
            <v/>
          </cell>
          <cell r="E55">
            <v>52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</row>
        <row r="56">
          <cell r="D56" t="str">
            <v/>
          </cell>
          <cell r="E56">
            <v>53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</row>
        <row r="57">
          <cell r="D57" t="str">
            <v/>
          </cell>
          <cell r="E57">
            <v>54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</row>
        <row r="58">
          <cell r="D58" t="str">
            <v/>
          </cell>
          <cell r="E58">
            <v>55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</row>
        <row r="59">
          <cell r="D59" t="str">
            <v/>
          </cell>
          <cell r="E59">
            <v>56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</row>
        <row r="60">
          <cell r="D60" t="str">
            <v/>
          </cell>
          <cell r="E60">
            <v>57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</row>
        <row r="61">
          <cell r="D61" t="str">
            <v/>
          </cell>
          <cell r="E61">
            <v>58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</row>
        <row r="62">
          <cell r="D62" t="str">
            <v/>
          </cell>
          <cell r="E62">
            <v>59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</row>
        <row r="63">
          <cell r="D63" t="str">
            <v/>
          </cell>
          <cell r="E63">
            <v>60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</row>
        <row r="64">
          <cell r="D64" t="str">
            <v/>
          </cell>
          <cell r="E64">
            <v>61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</row>
        <row r="65">
          <cell r="D65" t="str">
            <v/>
          </cell>
          <cell r="E65">
            <v>62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</row>
        <row r="66">
          <cell r="D66" t="str">
            <v/>
          </cell>
          <cell r="E66">
            <v>63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</row>
        <row r="67">
          <cell r="D67" t="str">
            <v/>
          </cell>
          <cell r="E67">
            <v>64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</row>
        <row r="68">
          <cell r="D68" t="str">
            <v/>
          </cell>
          <cell r="E68">
            <v>65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</row>
        <row r="69">
          <cell r="D69" t="str">
            <v/>
          </cell>
          <cell r="E69">
            <v>66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</row>
        <row r="70">
          <cell r="D70" t="str">
            <v/>
          </cell>
          <cell r="E70">
            <v>67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</row>
        <row r="71">
          <cell r="D71" t="str">
            <v/>
          </cell>
          <cell r="E71">
            <v>68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</row>
        <row r="72">
          <cell r="D72" t="str">
            <v/>
          </cell>
          <cell r="E72">
            <v>69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</row>
        <row r="73">
          <cell r="D73" t="str">
            <v/>
          </cell>
          <cell r="E73">
            <v>70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</row>
        <row r="74">
          <cell r="D74" t="str">
            <v/>
          </cell>
          <cell r="E74">
            <v>71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</row>
        <row r="75">
          <cell r="D75" t="str">
            <v/>
          </cell>
          <cell r="E75">
            <v>72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</row>
        <row r="76">
          <cell r="D76" t="str">
            <v/>
          </cell>
          <cell r="E76">
            <v>73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</row>
        <row r="77">
          <cell r="D77" t="str">
            <v/>
          </cell>
          <cell r="E77">
            <v>74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</row>
        <row r="78">
          <cell r="D78" t="str">
            <v/>
          </cell>
          <cell r="E78">
            <v>75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</row>
        <row r="79">
          <cell r="D79" t="str">
            <v/>
          </cell>
          <cell r="E79">
            <v>76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</row>
        <row r="80">
          <cell r="D80" t="str">
            <v/>
          </cell>
          <cell r="E80">
            <v>77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</row>
        <row r="81">
          <cell r="D81" t="str">
            <v/>
          </cell>
          <cell r="E81">
            <v>78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</row>
        <row r="82">
          <cell r="D82" t="str">
            <v/>
          </cell>
          <cell r="E82">
            <v>79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</row>
        <row r="83">
          <cell r="D83" t="str">
            <v/>
          </cell>
          <cell r="E83">
            <v>80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</row>
        <row r="84">
          <cell r="D84" t="str">
            <v/>
          </cell>
          <cell r="E84">
            <v>81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</row>
        <row r="85">
          <cell r="D85" t="str">
            <v/>
          </cell>
          <cell r="E85">
            <v>82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</row>
        <row r="86">
          <cell r="D86" t="str">
            <v/>
          </cell>
          <cell r="E86">
            <v>83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</row>
        <row r="87">
          <cell r="D87" t="str">
            <v/>
          </cell>
          <cell r="E87">
            <v>84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</row>
        <row r="88">
          <cell r="D88" t="str">
            <v/>
          </cell>
          <cell r="E88">
            <v>85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</row>
        <row r="89">
          <cell r="D89" t="str">
            <v/>
          </cell>
          <cell r="E89">
            <v>86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</row>
        <row r="90">
          <cell r="D90" t="str">
            <v/>
          </cell>
          <cell r="E90">
            <v>87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</row>
        <row r="91">
          <cell r="D91" t="str">
            <v/>
          </cell>
          <cell r="E91">
            <v>88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</row>
        <row r="92">
          <cell r="D92" t="str">
            <v/>
          </cell>
          <cell r="E92">
            <v>89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</row>
        <row r="93">
          <cell r="D93" t="str">
            <v/>
          </cell>
          <cell r="E93">
            <v>90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</row>
        <row r="94">
          <cell r="D94" t="str">
            <v/>
          </cell>
          <cell r="E94">
            <v>91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</row>
        <row r="95">
          <cell r="D95" t="str">
            <v/>
          </cell>
          <cell r="E95">
            <v>92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</row>
        <row r="96">
          <cell r="D96" t="str">
            <v/>
          </cell>
          <cell r="E96">
            <v>93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</row>
        <row r="97">
          <cell r="D97" t="str">
            <v/>
          </cell>
          <cell r="E97">
            <v>94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</row>
        <row r="98">
          <cell r="D98" t="str">
            <v/>
          </cell>
          <cell r="E98">
            <v>95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</row>
        <row r="99">
          <cell r="D99" t="str">
            <v/>
          </cell>
          <cell r="E99">
            <v>96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</row>
        <row r="100">
          <cell r="D100" t="str">
            <v/>
          </cell>
          <cell r="E100">
            <v>97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</row>
        <row r="101">
          <cell r="D101" t="str">
            <v/>
          </cell>
          <cell r="E101">
            <v>98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</row>
        <row r="102">
          <cell r="D102" t="str">
            <v/>
          </cell>
          <cell r="E102">
            <v>99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</row>
        <row r="103">
          <cell r="D103" t="str">
            <v/>
          </cell>
          <cell r="E103">
            <v>100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</row>
        <row r="104">
          <cell r="D104" t="str">
            <v/>
          </cell>
          <cell r="E104">
            <v>101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</row>
        <row r="105">
          <cell r="D105" t="str">
            <v/>
          </cell>
          <cell r="E105">
            <v>102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</row>
        <row r="106">
          <cell r="D106" t="str">
            <v/>
          </cell>
          <cell r="E106">
            <v>103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</row>
        <row r="107">
          <cell r="D107" t="str">
            <v/>
          </cell>
          <cell r="E107">
            <v>104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</row>
        <row r="108">
          <cell r="D108" t="str">
            <v/>
          </cell>
          <cell r="E108">
            <v>105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</row>
        <row r="109">
          <cell r="D109" t="str">
            <v/>
          </cell>
          <cell r="E109">
            <v>106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</row>
        <row r="110">
          <cell r="D110" t="str">
            <v/>
          </cell>
          <cell r="E110">
            <v>107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</row>
        <row r="111">
          <cell r="D111" t="str">
            <v/>
          </cell>
          <cell r="E111">
            <v>108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</row>
        <row r="112">
          <cell r="D112" t="str">
            <v/>
          </cell>
          <cell r="E112">
            <v>109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</row>
        <row r="113">
          <cell r="D113" t="str">
            <v/>
          </cell>
          <cell r="E113">
            <v>110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</row>
        <row r="114">
          <cell r="D114" t="str">
            <v/>
          </cell>
          <cell r="E114">
            <v>111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</row>
        <row r="115">
          <cell r="D115" t="str">
            <v/>
          </cell>
          <cell r="E115">
            <v>112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</row>
        <row r="116">
          <cell r="D116" t="str">
            <v/>
          </cell>
          <cell r="E116">
            <v>113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</row>
        <row r="117">
          <cell r="D117" t="str">
            <v/>
          </cell>
          <cell r="E117">
            <v>114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</row>
        <row r="118">
          <cell r="D118" t="str">
            <v/>
          </cell>
          <cell r="E118">
            <v>115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</row>
        <row r="119">
          <cell r="D119" t="str">
            <v/>
          </cell>
          <cell r="E119">
            <v>116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</row>
        <row r="120">
          <cell r="D120" t="str">
            <v/>
          </cell>
          <cell r="E120">
            <v>117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</row>
        <row r="121">
          <cell r="D121" t="str">
            <v/>
          </cell>
          <cell r="E121">
            <v>118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</row>
        <row r="122">
          <cell r="D122" t="str">
            <v/>
          </cell>
          <cell r="E122">
            <v>119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</row>
        <row r="123">
          <cell r="D123" t="str">
            <v/>
          </cell>
          <cell r="E123">
            <v>120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</row>
        <row r="124">
          <cell r="D124" t="str">
            <v/>
          </cell>
          <cell r="E124">
            <v>121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</row>
        <row r="125">
          <cell r="D125" t="str">
            <v/>
          </cell>
          <cell r="E125">
            <v>122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</row>
        <row r="126">
          <cell r="D126" t="str">
            <v/>
          </cell>
          <cell r="E126">
            <v>123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</row>
        <row r="127">
          <cell r="D127" t="str">
            <v/>
          </cell>
          <cell r="E127">
            <v>124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</row>
        <row r="128">
          <cell r="D128" t="str">
            <v/>
          </cell>
          <cell r="E128">
            <v>125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</row>
        <row r="129">
          <cell r="D129" t="str">
            <v/>
          </cell>
          <cell r="E129">
            <v>126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</row>
        <row r="130">
          <cell r="D130" t="str">
            <v/>
          </cell>
          <cell r="E130">
            <v>127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</row>
        <row r="131">
          <cell r="D131" t="str">
            <v/>
          </cell>
          <cell r="E131">
            <v>128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</row>
        <row r="132">
          <cell r="D132" t="str">
            <v/>
          </cell>
          <cell r="E132">
            <v>129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</row>
        <row r="133">
          <cell r="D133" t="str">
            <v/>
          </cell>
          <cell r="E133">
            <v>130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</row>
        <row r="134">
          <cell r="D134" t="str">
            <v/>
          </cell>
          <cell r="E134">
            <v>131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</row>
        <row r="135">
          <cell r="D135" t="str">
            <v/>
          </cell>
          <cell r="E135">
            <v>132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</row>
        <row r="136">
          <cell r="D136" t="str">
            <v/>
          </cell>
          <cell r="E136">
            <v>133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</row>
        <row r="137">
          <cell r="D137" t="str">
            <v/>
          </cell>
          <cell r="E137">
            <v>134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</row>
        <row r="138">
          <cell r="D138" t="str">
            <v/>
          </cell>
          <cell r="E138">
            <v>135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</row>
        <row r="139">
          <cell r="D139" t="str">
            <v/>
          </cell>
          <cell r="E139">
            <v>136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</row>
        <row r="140">
          <cell r="D140" t="str">
            <v/>
          </cell>
          <cell r="E140">
            <v>137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</row>
        <row r="141">
          <cell r="D141" t="str">
            <v/>
          </cell>
          <cell r="E141">
            <v>138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</row>
        <row r="142">
          <cell r="D142" t="str">
            <v/>
          </cell>
          <cell r="E142">
            <v>139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</row>
        <row r="143">
          <cell r="D143" t="str">
            <v/>
          </cell>
          <cell r="E143">
            <v>140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</row>
        <row r="144">
          <cell r="D144" t="str">
            <v/>
          </cell>
          <cell r="E144">
            <v>141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</row>
        <row r="145">
          <cell r="D145" t="str">
            <v/>
          </cell>
          <cell r="E145">
            <v>142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</row>
        <row r="146">
          <cell r="D146" t="str">
            <v/>
          </cell>
          <cell r="E146">
            <v>143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</row>
        <row r="147">
          <cell r="D147" t="str">
            <v/>
          </cell>
          <cell r="E147">
            <v>144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</row>
        <row r="148">
          <cell r="D148" t="str">
            <v/>
          </cell>
          <cell r="E148">
            <v>145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</row>
        <row r="149">
          <cell r="D149" t="str">
            <v/>
          </cell>
          <cell r="E149">
            <v>146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</row>
        <row r="150">
          <cell r="D150" t="str">
            <v/>
          </cell>
          <cell r="E150">
            <v>147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</row>
        <row r="151">
          <cell r="D151" t="str">
            <v/>
          </cell>
          <cell r="E151">
            <v>148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</row>
        <row r="152">
          <cell r="D152" t="str">
            <v/>
          </cell>
          <cell r="E152">
            <v>149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</row>
        <row r="153">
          <cell r="D153" t="str">
            <v/>
          </cell>
          <cell r="E153">
            <v>150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Z36"/>
  <sheetViews>
    <sheetView tabSelected="1" zoomScale="70" zoomScaleNormal="70" workbookViewId="0">
      <pane xSplit="1" ySplit="3" topLeftCell="N4" activePane="bottomRight" state="frozen"/>
      <selection pane="topRight" activeCell="B1" sqref="B1"/>
      <selection pane="bottomLeft" activeCell="A6" sqref="A6"/>
      <selection pane="bottomRight" sqref="A1:BL1"/>
    </sheetView>
  </sheetViews>
  <sheetFormatPr baseColWidth="10" defaultRowHeight="15" x14ac:dyDescent="0.25"/>
  <cols>
    <col min="1" max="1" width="21.140625" customWidth="1"/>
    <col min="2" max="2" width="18.7109375" customWidth="1"/>
    <col min="3" max="3" width="20.85546875" customWidth="1"/>
    <col min="4" max="4" width="20.85546875" style="11" customWidth="1"/>
    <col min="5" max="5" width="24.42578125" customWidth="1"/>
    <col min="6" max="8" width="24.42578125" style="51" customWidth="1"/>
    <col min="9" max="9" width="20.85546875" style="47" hidden="1" customWidth="1"/>
    <col min="10" max="11" width="20.85546875" style="51" hidden="1" customWidth="1"/>
    <col min="12" max="13" width="20.85546875" style="120" customWidth="1"/>
    <col min="14" max="14" width="20.85546875" customWidth="1"/>
    <col min="15" max="15" width="26.5703125" style="7" customWidth="1"/>
    <col min="16" max="16" width="23.85546875" style="51" customWidth="1"/>
    <col min="17" max="17" width="18.85546875" style="51" customWidth="1"/>
    <col min="18" max="21" width="19.42578125" style="51" hidden="1" customWidth="1"/>
    <col min="22" max="22" width="19.42578125" style="120" hidden="1" customWidth="1"/>
    <col min="23" max="30" width="19.42578125" style="51" hidden="1" customWidth="1"/>
    <col min="31" max="33" width="20.85546875" style="51" hidden="1" customWidth="1"/>
    <col min="34" max="34" width="20.85546875" style="9" hidden="1" customWidth="1"/>
    <col min="35" max="36" width="19.42578125" style="12" hidden="1" customWidth="1"/>
    <col min="37" max="38" width="19.42578125" style="51" hidden="1" customWidth="1"/>
    <col min="39" max="40" width="19.42578125" style="120" hidden="1" customWidth="1"/>
    <col min="41" max="41" width="30" style="120" customWidth="1"/>
    <col min="42" max="43" width="19.42578125" style="120" customWidth="1"/>
    <col min="44" max="45" width="19.42578125" style="12" customWidth="1"/>
    <col min="46" max="46" width="48.28515625" style="46" customWidth="1"/>
    <col min="47" max="52" width="19.42578125" style="46" hidden="1" customWidth="1"/>
    <col min="53" max="69" width="19.42578125" style="12" hidden="1" customWidth="1"/>
    <col min="70" max="70" width="21.140625" style="12" hidden="1" customWidth="1"/>
    <col min="71" max="71" width="19.42578125" style="12" hidden="1" customWidth="1"/>
    <col min="72" max="72" width="21.140625" style="12" hidden="1" customWidth="1"/>
    <col min="73" max="73" width="23.28515625" style="12" hidden="1" customWidth="1"/>
    <col min="74" max="74" width="117.42578125" style="3" hidden="1" customWidth="1"/>
    <col min="75" max="76" width="117.42578125" hidden="1" customWidth="1"/>
    <col min="77" max="77" width="0.140625" hidden="1" customWidth="1"/>
    <col min="78" max="78" width="19.42578125" bestFit="1" customWidth="1"/>
    <col min="79" max="90" width="11.42578125" customWidth="1"/>
  </cols>
  <sheetData>
    <row r="1" spans="1:78" ht="18.75" x14ac:dyDescent="0.25">
      <c r="A1" s="160" t="s">
        <v>249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1"/>
      <c r="Q1" s="161"/>
      <c r="R1" s="161"/>
      <c r="S1" s="161"/>
      <c r="T1" s="161"/>
      <c r="U1" s="161"/>
      <c r="V1" s="161"/>
      <c r="W1" s="161"/>
      <c r="X1" s="161"/>
      <c r="Y1" s="161"/>
      <c r="Z1" s="161"/>
      <c r="AA1" s="161"/>
      <c r="AB1" s="161"/>
      <c r="AC1" s="161"/>
      <c r="AD1" s="161"/>
      <c r="AE1" s="161"/>
      <c r="AF1" s="161"/>
      <c r="AG1" s="161"/>
      <c r="AH1" s="161"/>
      <c r="AI1" s="161"/>
      <c r="AJ1" s="161"/>
      <c r="AK1" s="161"/>
      <c r="AL1" s="161"/>
      <c r="AM1" s="161"/>
      <c r="AN1" s="161"/>
      <c r="AO1" s="161"/>
      <c r="AP1" s="161"/>
      <c r="AQ1" s="161"/>
      <c r="AR1" s="161"/>
      <c r="AS1" s="161"/>
      <c r="AT1" s="161"/>
      <c r="AU1" s="161"/>
      <c r="AV1" s="161"/>
      <c r="AW1" s="161"/>
      <c r="AX1" s="161"/>
      <c r="AY1" s="161"/>
      <c r="AZ1" s="161"/>
      <c r="BA1" s="161"/>
      <c r="BB1" s="161"/>
      <c r="BC1" s="161"/>
      <c r="BD1" s="161"/>
      <c r="BE1" s="161"/>
      <c r="BF1" s="161"/>
      <c r="BG1" s="161"/>
      <c r="BH1" s="161"/>
      <c r="BI1" s="161"/>
      <c r="BJ1" s="161"/>
      <c r="BK1" s="161"/>
      <c r="BL1" s="161"/>
    </row>
    <row r="2" spans="1:78" s="51" customFormat="1" ht="16.5" thickBot="1" x14ac:dyDescent="0.3">
      <c r="A2" s="56"/>
      <c r="B2" s="56"/>
      <c r="C2" s="56"/>
      <c r="D2" s="56"/>
      <c r="E2" s="56"/>
      <c r="F2" s="56"/>
      <c r="G2" s="56"/>
      <c r="H2" s="90"/>
      <c r="I2" s="56"/>
      <c r="J2" s="70"/>
      <c r="K2" s="95"/>
      <c r="L2" s="148"/>
      <c r="M2" s="150"/>
      <c r="N2" s="56"/>
      <c r="O2" s="56"/>
      <c r="P2" s="56"/>
      <c r="Q2" s="56"/>
      <c r="R2" s="56"/>
      <c r="S2" s="68"/>
      <c r="T2" s="90"/>
      <c r="U2" s="106"/>
      <c r="V2" s="117"/>
      <c r="W2" s="56"/>
      <c r="X2" s="56"/>
      <c r="Y2" s="78"/>
      <c r="Z2" s="96"/>
      <c r="AA2" s="97"/>
      <c r="AB2" s="101"/>
      <c r="AC2" s="102"/>
      <c r="AD2" s="98"/>
      <c r="AE2" s="56"/>
      <c r="AF2" s="66"/>
      <c r="AG2" s="90"/>
      <c r="AH2" s="56"/>
      <c r="AI2" s="56"/>
      <c r="AJ2" s="56"/>
      <c r="AK2" s="80"/>
      <c r="AL2" s="101"/>
      <c r="AM2" s="125"/>
      <c r="AN2" s="127"/>
      <c r="AO2" s="154"/>
      <c r="AP2" s="150"/>
      <c r="AQ2" s="154"/>
      <c r="AR2" s="56"/>
      <c r="AS2" s="56"/>
      <c r="AT2" s="59"/>
      <c r="AU2" s="59"/>
      <c r="AV2" s="59"/>
      <c r="AW2" s="59"/>
      <c r="AX2" s="59"/>
      <c r="AY2" s="59"/>
      <c r="AZ2" s="59"/>
      <c r="BA2" s="56"/>
      <c r="BB2" s="56"/>
      <c r="BC2" s="56"/>
      <c r="BD2" s="56"/>
      <c r="BE2" s="56"/>
      <c r="BF2" s="56"/>
      <c r="BG2" s="56"/>
      <c r="BH2" s="56"/>
      <c r="BI2" s="56"/>
      <c r="BJ2" s="56"/>
      <c r="BK2" s="56"/>
      <c r="BL2" s="56"/>
      <c r="BV2" s="3"/>
    </row>
    <row r="3" spans="1:78" s="147" customFormat="1" ht="195.75" thickBot="1" x14ac:dyDescent="0.3">
      <c r="A3" s="118" t="s">
        <v>210</v>
      </c>
      <c r="B3" s="121" t="s">
        <v>211</v>
      </c>
      <c r="C3" s="121" t="s">
        <v>212</v>
      </c>
      <c r="D3" s="121" t="s">
        <v>213</v>
      </c>
      <c r="E3" s="121" t="s">
        <v>214</v>
      </c>
      <c r="F3" s="121" t="s">
        <v>215</v>
      </c>
      <c r="G3" s="119" t="s">
        <v>177</v>
      </c>
      <c r="H3" s="137" t="s">
        <v>187</v>
      </c>
      <c r="I3" s="138" t="s">
        <v>186</v>
      </c>
      <c r="J3" s="139" t="s">
        <v>185</v>
      </c>
      <c r="K3" s="140" t="s">
        <v>207</v>
      </c>
      <c r="L3" s="140" t="s">
        <v>222</v>
      </c>
      <c r="M3" s="152" t="s">
        <v>248</v>
      </c>
      <c r="N3" s="136" t="s">
        <v>216</v>
      </c>
      <c r="O3" s="136" t="s">
        <v>217</v>
      </c>
      <c r="P3" s="53" t="s">
        <v>28</v>
      </c>
      <c r="Q3" s="136" t="s">
        <v>218</v>
      </c>
      <c r="R3" s="128" t="s">
        <v>193</v>
      </c>
      <c r="S3" s="128" t="s">
        <v>175</v>
      </c>
      <c r="T3" s="53" t="s">
        <v>192</v>
      </c>
      <c r="U3" s="53" t="s">
        <v>208</v>
      </c>
      <c r="V3" s="136" t="s">
        <v>227</v>
      </c>
      <c r="W3" s="141" t="s">
        <v>188</v>
      </c>
      <c r="X3" s="142" t="s">
        <v>189</v>
      </c>
      <c r="Y3" s="142" t="s">
        <v>183</v>
      </c>
      <c r="Z3" s="142" t="s">
        <v>197</v>
      </c>
      <c r="AA3" s="142" t="s">
        <v>204</v>
      </c>
      <c r="AB3" s="142" t="s">
        <v>206</v>
      </c>
      <c r="AC3" s="142" t="s">
        <v>221</v>
      </c>
      <c r="AD3" s="142" t="s">
        <v>205</v>
      </c>
      <c r="AE3" s="142" t="s">
        <v>171</v>
      </c>
      <c r="AF3" s="143" t="s">
        <v>176</v>
      </c>
      <c r="AG3" s="144" t="s">
        <v>194</v>
      </c>
      <c r="AH3" s="119" t="s">
        <v>172</v>
      </c>
      <c r="AI3" s="119" t="s">
        <v>173</v>
      </c>
      <c r="AJ3" s="119" t="s">
        <v>174</v>
      </c>
      <c r="AK3" s="119" t="s">
        <v>184</v>
      </c>
      <c r="AL3" s="119" t="s">
        <v>209</v>
      </c>
      <c r="AM3" s="119" t="s">
        <v>219</v>
      </c>
      <c r="AN3" s="119" t="s">
        <v>220</v>
      </c>
      <c r="AO3" s="149" t="s">
        <v>237</v>
      </c>
      <c r="AP3" s="149" t="s">
        <v>236</v>
      </c>
      <c r="AQ3" s="149" t="s">
        <v>238</v>
      </c>
      <c r="AR3" s="119" t="s">
        <v>94</v>
      </c>
      <c r="AS3" s="119" t="s">
        <v>250</v>
      </c>
      <c r="AT3" s="107" t="s">
        <v>168</v>
      </c>
      <c r="AU3" s="145"/>
      <c r="AV3" s="145"/>
      <c r="AW3" s="145"/>
      <c r="AX3" s="145"/>
      <c r="AY3" s="145"/>
      <c r="AZ3" s="145"/>
      <c r="BA3" s="62" t="s">
        <v>34</v>
      </c>
      <c r="BB3" s="107" t="s">
        <v>35</v>
      </c>
      <c r="BC3" s="107" t="s">
        <v>36</v>
      </c>
      <c r="BD3" s="107" t="s">
        <v>37</v>
      </c>
      <c r="BE3" s="107" t="s">
        <v>40</v>
      </c>
      <c r="BF3" s="107" t="s">
        <v>41</v>
      </c>
      <c r="BG3" s="107" t="s">
        <v>42</v>
      </c>
      <c r="BH3" s="107" t="s">
        <v>47</v>
      </c>
      <c r="BI3" s="146" t="s">
        <v>62</v>
      </c>
      <c r="BJ3" s="146" t="s">
        <v>49</v>
      </c>
      <c r="BK3" s="146" t="s">
        <v>50</v>
      </c>
      <c r="BL3" s="146" t="s">
        <v>51</v>
      </c>
      <c r="BM3" s="146" t="s">
        <v>53</v>
      </c>
      <c r="BN3" s="146" t="s">
        <v>54</v>
      </c>
      <c r="BO3" s="146" t="s">
        <v>55</v>
      </c>
      <c r="BP3" s="146" t="s">
        <v>57</v>
      </c>
      <c r="BQ3" s="146" t="s">
        <v>58</v>
      </c>
      <c r="BR3" s="146" t="s">
        <v>52</v>
      </c>
      <c r="BS3" s="146" t="s">
        <v>56</v>
      </c>
      <c r="BT3" s="146" t="s">
        <v>59</v>
      </c>
      <c r="BU3" s="146" t="s">
        <v>63</v>
      </c>
      <c r="BV3" s="128" t="s">
        <v>14</v>
      </c>
      <c r="BY3" s="107" t="s">
        <v>168</v>
      </c>
    </row>
    <row r="4" spans="1:78" ht="409.5" x14ac:dyDescent="0.25">
      <c r="A4" s="167" t="s">
        <v>0</v>
      </c>
      <c r="B4" s="166" t="s">
        <v>1</v>
      </c>
      <c r="C4" s="167" t="s">
        <v>2</v>
      </c>
      <c r="D4" s="170" t="s">
        <v>68</v>
      </c>
      <c r="E4" s="8" t="s">
        <v>19</v>
      </c>
      <c r="F4" s="17" t="s">
        <v>198</v>
      </c>
      <c r="G4" s="55" t="s">
        <v>18</v>
      </c>
      <c r="H4" s="92">
        <v>5.41</v>
      </c>
      <c r="I4" s="48">
        <v>5.9020000000000001</v>
      </c>
      <c r="J4" s="92">
        <f>5.902+10.145</f>
        <v>16.047000000000001</v>
      </c>
      <c r="K4" s="132">
        <f>+J4+16.89</f>
        <v>32.936999999999998</v>
      </c>
      <c r="L4" s="132">
        <f>+K4</f>
        <v>32.936999999999998</v>
      </c>
      <c r="M4" s="158">
        <v>0.1</v>
      </c>
      <c r="N4" s="129" t="s">
        <v>22</v>
      </c>
      <c r="O4" s="133" t="s">
        <v>191</v>
      </c>
      <c r="P4" s="30" t="s">
        <v>4</v>
      </c>
      <c r="Q4" s="30" t="s">
        <v>29</v>
      </c>
      <c r="R4" s="134">
        <f>+H4+0.3</f>
        <v>5.71</v>
      </c>
      <c r="S4" s="134">
        <f>+I4+4.59</f>
        <v>10.492000000000001</v>
      </c>
      <c r="T4" s="135">
        <f>+S4+6.41</f>
        <v>16.902000000000001</v>
      </c>
      <c r="U4" s="135">
        <v>32.299999999999997</v>
      </c>
      <c r="V4" s="131">
        <v>27.526999999999997</v>
      </c>
      <c r="W4" s="54">
        <v>5.41</v>
      </c>
      <c r="X4" s="54">
        <f>+I4</f>
        <v>5.9020000000000001</v>
      </c>
      <c r="Y4" s="108">
        <f>+X4+10.145</f>
        <v>16.047000000000001</v>
      </c>
      <c r="Z4" s="110">
        <f>+Y4+2.15</f>
        <v>18.196999999999999</v>
      </c>
      <c r="AA4" s="110">
        <f>+Z4</f>
        <v>18.196999999999999</v>
      </c>
      <c r="AB4" s="110">
        <f>+AA4</f>
        <v>18.196999999999999</v>
      </c>
      <c r="AC4" s="109">
        <f>+Y4+2.15+14.74</f>
        <v>32.936999999999998</v>
      </c>
      <c r="AD4" s="105"/>
      <c r="AE4" s="60" t="str">
        <f>+N4</f>
        <v>Diseño de Ingenieria de detalle del Plan de Drenajes</v>
      </c>
      <c r="AF4" s="77">
        <v>4.59</v>
      </c>
      <c r="AG4" s="110">
        <v>6.41</v>
      </c>
      <c r="AH4" s="60" t="s">
        <v>22</v>
      </c>
      <c r="AI4" s="60">
        <v>5.41</v>
      </c>
      <c r="AJ4" s="75">
        <f t="shared" ref="AJ4:AK5" si="0">+X4</f>
        <v>5.9020000000000001</v>
      </c>
      <c r="AK4" s="93">
        <f t="shared" si="0"/>
        <v>16.047000000000001</v>
      </c>
      <c r="AL4" s="103">
        <f>+AC4</f>
        <v>32.936999999999998</v>
      </c>
      <c r="AM4" s="103">
        <f t="shared" ref="AM4:AN9" si="1">+AL4</f>
        <v>32.936999999999998</v>
      </c>
      <c r="AN4" s="103">
        <f>+AM4</f>
        <v>32.936999999999998</v>
      </c>
      <c r="AO4" s="103" t="s">
        <v>242</v>
      </c>
      <c r="AP4" s="155">
        <v>12762231</v>
      </c>
      <c r="AQ4" s="156" t="s">
        <v>239</v>
      </c>
      <c r="AR4" s="167" t="s">
        <v>228</v>
      </c>
      <c r="AS4" s="151" t="s">
        <v>229</v>
      </c>
      <c r="AT4" s="153" t="s">
        <v>232</v>
      </c>
      <c r="AU4" s="61"/>
      <c r="AV4" s="61"/>
      <c r="AW4" s="67" t="e">
        <f>+#REF!-#REF!</f>
        <v>#REF!</v>
      </c>
      <c r="AX4" s="61"/>
      <c r="AY4" s="61"/>
      <c r="AZ4" s="61"/>
      <c r="BA4" s="44">
        <v>0.3</v>
      </c>
      <c r="BB4" s="15">
        <v>4.59</v>
      </c>
      <c r="BC4" s="10">
        <v>6.41</v>
      </c>
      <c r="BD4" s="10">
        <f>17.71-BC4-BB4-BA4</f>
        <v>6.410000000000001</v>
      </c>
      <c r="BE4" s="15"/>
      <c r="BF4" s="162" t="s">
        <v>43</v>
      </c>
      <c r="BG4" s="162" t="s">
        <v>44</v>
      </c>
      <c r="BH4" s="164" t="s">
        <v>48</v>
      </c>
      <c r="BI4" s="25">
        <v>58000000</v>
      </c>
      <c r="BJ4" s="26"/>
      <c r="BK4" s="25">
        <f>+BJ4+BI4</f>
        <v>58000000</v>
      </c>
      <c r="BL4" s="24">
        <f>751900000</f>
        <v>751900000</v>
      </c>
      <c r="BM4" s="24"/>
      <c r="BN4" s="24">
        <f>+BM4+BL4</f>
        <v>751900000</v>
      </c>
      <c r="BO4" s="24">
        <f>774457000</f>
        <v>774457000</v>
      </c>
      <c r="BP4" s="24"/>
      <c r="BQ4" s="23">
        <f t="shared" ref="BQ4:BQ8" si="2">+BP4+BO4</f>
        <v>774457000</v>
      </c>
      <c r="BR4" s="23">
        <f>797690710</f>
        <v>797690710</v>
      </c>
      <c r="BS4" s="23"/>
      <c r="BT4" s="23">
        <f t="shared" ref="BT4:BT8" si="3">+BS4+BR4</f>
        <v>797690710</v>
      </c>
      <c r="BU4" s="23">
        <f>+BT4+BQ4+BN4+BK4</f>
        <v>2382047710</v>
      </c>
      <c r="BV4" s="6" t="s">
        <v>16</v>
      </c>
      <c r="BY4" s="52" t="s">
        <v>169</v>
      </c>
      <c r="BZ4" s="104"/>
    </row>
    <row r="5" spans="1:78" ht="409.5" x14ac:dyDescent="0.25">
      <c r="A5" s="168"/>
      <c r="B5" s="166"/>
      <c r="C5" s="168"/>
      <c r="D5" s="170"/>
      <c r="E5" s="88" t="s">
        <v>20</v>
      </c>
      <c r="F5" s="17" t="s">
        <v>199</v>
      </c>
      <c r="G5" s="81" t="s">
        <v>21</v>
      </c>
      <c r="H5" s="89">
        <v>2.5499999999999998</v>
      </c>
      <c r="I5" s="81">
        <v>2.5499999999999998</v>
      </c>
      <c r="J5" s="81">
        <f>2.62+0.62</f>
        <v>3.24</v>
      </c>
      <c r="K5" s="109">
        <f>+J5+0.205+0.03</f>
        <v>3.4750000000000001</v>
      </c>
      <c r="L5" s="132">
        <f>+K5+0.57</f>
        <v>4.0449999999999999</v>
      </c>
      <c r="M5" s="159">
        <v>1.365</v>
      </c>
      <c r="N5" s="107" t="s">
        <v>23</v>
      </c>
      <c r="O5" s="91" t="s">
        <v>190</v>
      </c>
      <c r="P5" s="81" t="s">
        <v>5</v>
      </c>
      <c r="Q5" s="81" t="s">
        <v>30</v>
      </c>
      <c r="R5" s="82">
        <f>+H5+0.2</f>
        <v>2.75</v>
      </c>
      <c r="S5" s="82">
        <f>+R5+0.8</f>
        <v>3.55</v>
      </c>
      <c r="T5" s="110">
        <f>+S5+1.19</f>
        <v>4.74</v>
      </c>
      <c r="U5" s="110">
        <v>5.41</v>
      </c>
      <c r="V5" s="123">
        <v>0.92500000000000027</v>
      </c>
      <c r="W5" s="81">
        <v>2.5499999999999998</v>
      </c>
      <c r="X5" s="81">
        <f>+I5</f>
        <v>2.5499999999999998</v>
      </c>
      <c r="Y5" s="81">
        <f>+X5+0.07+0.62</f>
        <v>3.2399999999999998</v>
      </c>
      <c r="Z5" s="111">
        <f>+Y5+0.135</f>
        <v>3.375</v>
      </c>
      <c r="AA5" s="111">
        <f>+Z5+0.07</f>
        <v>3.4449999999999998</v>
      </c>
      <c r="AB5" s="111">
        <f>+AA5+0.03</f>
        <v>3.4749999999999996</v>
      </c>
      <c r="AC5" s="109">
        <f>+AB5</f>
        <v>3.4749999999999996</v>
      </c>
      <c r="AD5" s="105"/>
      <c r="AE5" s="81" t="s">
        <v>23</v>
      </c>
      <c r="AF5" s="82">
        <v>0.8</v>
      </c>
      <c r="AG5" s="110">
        <v>1.19</v>
      </c>
      <c r="AH5" s="81" t="s">
        <v>23</v>
      </c>
      <c r="AI5" s="81">
        <v>2.5499999999999998</v>
      </c>
      <c r="AJ5" s="82">
        <f t="shared" si="0"/>
        <v>2.5499999999999998</v>
      </c>
      <c r="AK5" s="93">
        <f t="shared" si="0"/>
        <v>3.2399999999999998</v>
      </c>
      <c r="AL5" s="103">
        <f>+AC5</f>
        <v>3.4749999999999996</v>
      </c>
      <c r="AM5" s="103">
        <f t="shared" si="1"/>
        <v>3.4749999999999996</v>
      </c>
      <c r="AN5" s="103">
        <f>+AM5</f>
        <v>3.4749999999999996</v>
      </c>
      <c r="AO5" s="103" t="s">
        <v>243</v>
      </c>
      <c r="AP5" s="155">
        <v>341907703</v>
      </c>
      <c r="AQ5" s="156" t="s">
        <v>240</v>
      </c>
      <c r="AR5" s="168"/>
      <c r="AS5" s="157" t="s">
        <v>229</v>
      </c>
      <c r="AT5" s="153" t="s">
        <v>230</v>
      </c>
      <c r="AU5" s="62"/>
      <c r="AV5" s="62"/>
      <c r="AW5" s="62"/>
      <c r="AX5" s="62"/>
      <c r="AY5" s="62"/>
      <c r="AZ5" s="62"/>
      <c r="BA5" s="87">
        <v>0.2</v>
      </c>
      <c r="BB5" s="81">
        <v>0.8</v>
      </c>
      <c r="BC5" s="81">
        <v>1.19</v>
      </c>
      <c r="BD5" s="81">
        <f>3.38-BA5-BB5-BC5</f>
        <v>1.19</v>
      </c>
      <c r="BE5" s="81"/>
      <c r="BF5" s="163"/>
      <c r="BG5" s="163"/>
      <c r="BH5" s="165"/>
      <c r="BI5" s="86">
        <v>4130887742</v>
      </c>
      <c r="BJ5" s="84">
        <v>13252315670</v>
      </c>
      <c r="BK5" s="85">
        <f>+BI5+BJ5</f>
        <v>17383203412</v>
      </c>
      <c r="BL5" s="83">
        <f>3562654374</f>
        <v>3562654374</v>
      </c>
      <c r="BM5" s="83"/>
      <c r="BN5" s="83">
        <f>+BM5+BL5</f>
        <v>3562654374</v>
      </c>
      <c r="BO5" s="83">
        <f>3669534005</f>
        <v>3669534005</v>
      </c>
      <c r="BP5" s="83"/>
      <c r="BQ5" s="83">
        <f t="shared" si="2"/>
        <v>3669534005</v>
      </c>
      <c r="BR5" s="83">
        <f>3779620025</f>
        <v>3779620025</v>
      </c>
      <c r="BS5" s="83"/>
      <c r="BT5" s="83">
        <f t="shared" si="3"/>
        <v>3779620025</v>
      </c>
      <c r="BU5" s="83">
        <f>+BT5+BQ5+BN5+BK5</f>
        <v>28395011816</v>
      </c>
      <c r="BV5" s="81" t="s">
        <v>65</v>
      </c>
      <c r="BY5" s="55" t="s">
        <v>170</v>
      </c>
    </row>
    <row r="6" spans="1:78" ht="75" customHeight="1" x14ac:dyDescent="0.25">
      <c r="A6" s="168"/>
      <c r="B6" s="166" t="s">
        <v>3</v>
      </c>
      <c r="C6" s="166" t="s">
        <v>195</v>
      </c>
      <c r="D6" s="170" t="s">
        <v>69</v>
      </c>
      <c r="E6" s="167" t="s">
        <v>70</v>
      </c>
      <c r="F6" s="52" t="s">
        <v>39</v>
      </c>
      <c r="G6" s="167" t="s">
        <v>24</v>
      </c>
      <c r="H6" s="92">
        <v>37</v>
      </c>
      <c r="I6" s="48">
        <v>37</v>
      </c>
      <c r="J6" s="71">
        <v>37</v>
      </c>
      <c r="K6" s="2">
        <v>37</v>
      </c>
      <c r="L6" s="132">
        <f>+K6+4</f>
        <v>41</v>
      </c>
      <c r="M6" s="158">
        <v>5.25</v>
      </c>
      <c r="N6" s="53" t="s">
        <v>25</v>
      </c>
      <c r="O6" s="72" t="s">
        <v>223</v>
      </c>
      <c r="P6" s="52" t="s">
        <v>6</v>
      </c>
      <c r="Q6" s="57" t="s">
        <v>31</v>
      </c>
      <c r="R6" s="60">
        <f>+J6+0</f>
        <v>37</v>
      </c>
      <c r="S6" s="69">
        <f>+R6+3</f>
        <v>40</v>
      </c>
      <c r="T6" s="2">
        <f>+S6+3</f>
        <v>43</v>
      </c>
      <c r="U6" s="2">
        <v>46.25</v>
      </c>
      <c r="V6" s="122">
        <v>0</v>
      </c>
      <c r="W6" s="60">
        <v>37</v>
      </c>
      <c r="X6" s="79">
        <v>37</v>
      </c>
      <c r="Y6" s="92">
        <f>+X6</f>
        <v>37</v>
      </c>
      <c r="Z6" s="2">
        <v>37</v>
      </c>
      <c r="AA6" s="2">
        <v>37</v>
      </c>
      <c r="AB6" s="2">
        <f t="shared" ref="AB6:AC8" si="4">+AA6</f>
        <v>37</v>
      </c>
      <c r="AC6" s="2">
        <f t="shared" si="4"/>
        <v>37</v>
      </c>
      <c r="AD6" s="100"/>
      <c r="AE6" s="52" t="s">
        <v>25</v>
      </c>
      <c r="AF6" s="76">
        <v>3</v>
      </c>
      <c r="AG6" s="107">
        <v>3</v>
      </c>
      <c r="AH6" s="17" t="s">
        <v>180</v>
      </c>
      <c r="AI6" s="73">
        <v>37</v>
      </c>
      <c r="AJ6" s="79">
        <v>37</v>
      </c>
      <c r="AK6" s="79">
        <v>37</v>
      </c>
      <c r="AL6" s="103">
        <f>+AC6</f>
        <v>37</v>
      </c>
      <c r="AM6" s="103">
        <f t="shared" si="1"/>
        <v>37</v>
      </c>
      <c r="AN6" s="103">
        <f>+AM6</f>
        <v>37</v>
      </c>
      <c r="AO6" s="103" t="s">
        <v>244</v>
      </c>
      <c r="AP6" s="155">
        <v>675356000</v>
      </c>
      <c r="AQ6" s="156" t="s">
        <v>241</v>
      </c>
      <c r="AR6" s="168"/>
      <c r="AS6" s="157" t="s">
        <v>229</v>
      </c>
      <c r="AT6" s="153" t="s">
        <v>235</v>
      </c>
      <c r="AU6" s="63"/>
      <c r="AV6" s="173" t="e">
        <f>+#REF!-#REF!</f>
        <v>#REF!</v>
      </c>
      <c r="AW6" s="63"/>
      <c r="AX6" s="63"/>
      <c r="AY6" s="63"/>
      <c r="AZ6" s="63"/>
      <c r="BA6" s="44">
        <v>0</v>
      </c>
      <c r="BB6" s="15">
        <v>3</v>
      </c>
      <c r="BC6" s="15">
        <v>6</v>
      </c>
      <c r="BD6" s="15">
        <v>9.25</v>
      </c>
      <c r="BE6" s="15"/>
      <c r="BF6" s="167" t="s">
        <v>45</v>
      </c>
      <c r="BG6" s="167" t="s">
        <v>46</v>
      </c>
      <c r="BH6" s="167" t="s">
        <v>48</v>
      </c>
      <c r="BI6" s="167"/>
      <c r="BJ6" s="177"/>
      <c r="BK6" s="176">
        <f>+BJ6+BI6</f>
        <v>0</v>
      </c>
      <c r="BL6" s="27">
        <v>240208872</v>
      </c>
      <c r="BM6" s="27"/>
      <c r="BN6" s="28">
        <f>+BL6+BM6</f>
        <v>240208872</v>
      </c>
      <c r="BO6" s="29">
        <f>+BL6*1.03</f>
        <v>247415138.16</v>
      </c>
      <c r="BP6" s="17"/>
      <c r="BQ6" s="29">
        <f t="shared" si="2"/>
        <v>247415138.16</v>
      </c>
      <c r="BR6" s="17">
        <f>+BO6*1.03</f>
        <v>254837592.3048</v>
      </c>
      <c r="BS6" s="17"/>
      <c r="BT6" s="28">
        <f t="shared" si="3"/>
        <v>254837592.3048</v>
      </c>
      <c r="BU6" s="23">
        <f>+BK6+BN6+BQ6+BT6</f>
        <v>742461602.4648</v>
      </c>
      <c r="BV6" s="1" t="s">
        <v>73</v>
      </c>
      <c r="BY6" s="13"/>
    </row>
    <row r="7" spans="1:78" ht="102.75" customHeight="1" x14ac:dyDescent="0.25">
      <c r="A7" s="168"/>
      <c r="B7" s="166"/>
      <c r="C7" s="166"/>
      <c r="D7" s="170"/>
      <c r="E7" s="168"/>
      <c r="F7" s="52" t="s">
        <v>201</v>
      </c>
      <c r="G7" s="171"/>
      <c r="H7" s="92">
        <v>3.96</v>
      </c>
      <c r="I7" s="48">
        <v>3.96</v>
      </c>
      <c r="J7" s="71">
        <v>3.96</v>
      </c>
      <c r="K7" s="2">
        <v>3.96</v>
      </c>
      <c r="L7" s="132">
        <f>+K7+0.88</f>
        <v>4.84</v>
      </c>
      <c r="M7" s="158">
        <v>1.1200000000000001</v>
      </c>
      <c r="N7" s="53" t="s">
        <v>26</v>
      </c>
      <c r="O7" s="72" t="s">
        <v>224</v>
      </c>
      <c r="P7" s="52" t="s">
        <v>7</v>
      </c>
      <c r="Q7" s="58" t="s">
        <v>32</v>
      </c>
      <c r="R7" s="55">
        <f>+J7</f>
        <v>3.96</v>
      </c>
      <c r="S7" s="69">
        <f>+R7+0.5</f>
        <v>4.46</v>
      </c>
      <c r="T7" s="2">
        <f>+S7+0.7</f>
        <v>5.16</v>
      </c>
      <c r="U7" s="2">
        <v>5.96</v>
      </c>
      <c r="V7" s="122">
        <v>0</v>
      </c>
      <c r="W7" s="60">
        <v>3.96</v>
      </c>
      <c r="X7" s="60">
        <v>3.96</v>
      </c>
      <c r="Y7" s="79">
        <f>+X7</f>
        <v>3.96</v>
      </c>
      <c r="Z7" s="2">
        <v>3.96</v>
      </c>
      <c r="AA7" s="2">
        <v>3.96</v>
      </c>
      <c r="AB7" s="2">
        <f t="shared" si="4"/>
        <v>3.96</v>
      </c>
      <c r="AC7" s="2">
        <f t="shared" si="4"/>
        <v>3.96</v>
      </c>
      <c r="AD7" s="100"/>
      <c r="AE7" s="52" t="s">
        <v>26</v>
      </c>
      <c r="AF7" s="76">
        <v>0.5</v>
      </c>
      <c r="AG7" s="107">
        <v>0.7</v>
      </c>
      <c r="AH7" s="17" t="s">
        <v>181</v>
      </c>
      <c r="AI7" s="73">
        <v>3.96</v>
      </c>
      <c r="AJ7" s="79">
        <v>3.96</v>
      </c>
      <c r="AK7" s="93">
        <v>3.96</v>
      </c>
      <c r="AL7" s="103">
        <f>+AC7</f>
        <v>3.96</v>
      </c>
      <c r="AM7" s="103">
        <f t="shared" si="1"/>
        <v>3.96</v>
      </c>
      <c r="AN7" s="103">
        <f>+AM7</f>
        <v>3.96</v>
      </c>
      <c r="AO7" s="103" t="s">
        <v>245</v>
      </c>
      <c r="AP7" s="155">
        <v>450237000</v>
      </c>
      <c r="AQ7" s="156" t="s">
        <v>241</v>
      </c>
      <c r="AR7" s="168"/>
      <c r="AS7" s="157" t="s">
        <v>229</v>
      </c>
      <c r="AT7" s="153" t="s">
        <v>234</v>
      </c>
      <c r="AU7" s="63"/>
      <c r="AV7" s="174"/>
      <c r="AW7" s="63"/>
      <c r="AX7" s="63"/>
      <c r="AY7" s="63"/>
      <c r="AZ7" s="63"/>
      <c r="BA7" s="44">
        <v>0</v>
      </c>
      <c r="BB7" s="15">
        <v>0.5</v>
      </c>
      <c r="BC7" s="15">
        <v>1.2</v>
      </c>
      <c r="BD7" s="15">
        <v>2</v>
      </c>
      <c r="BE7" s="15"/>
      <c r="BF7" s="168"/>
      <c r="BG7" s="168"/>
      <c r="BH7" s="168"/>
      <c r="BI7" s="168"/>
      <c r="BJ7" s="178"/>
      <c r="BK7" s="168"/>
      <c r="BL7" s="31">
        <v>240208871</v>
      </c>
      <c r="BM7" s="16"/>
      <c r="BN7" s="28">
        <f t="shared" ref="BN7:BN8" si="5">+BL7+BM7</f>
        <v>240208871</v>
      </c>
      <c r="BO7" s="29">
        <f>+BL7*1.03</f>
        <v>247415137.13</v>
      </c>
      <c r="BP7" s="17"/>
      <c r="BQ7" s="29">
        <f t="shared" si="2"/>
        <v>247415137.13</v>
      </c>
      <c r="BR7" s="17">
        <f>+BO7*1.03</f>
        <v>254837591.2439</v>
      </c>
      <c r="BS7" s="17"/>
      <c r="BT7" s="28">
        <f t="shared" si="3"/>
        <v>254837591.2439</v>
      </c>
      <c r="BU7" s="23">
        <f t="shared" ref="BU7:BU8" si="6">+BK7+BN7+BQ7+BT7</f>
        <v>742461599.37389994</v>
      </c>
      <c r="BV7" s="5" t="s">
        <v>60</v>
      </c>
      <c r="BY7" s="13"/>
    </row>
    <row r="8" spans="1:78" ht="90" x14ac:dyDescent="0.25">
      <c r="A8" s="168"/>
      <c r="B8" s="166"/>
      <c r="C8" s="166"/>
      <c r="D8" s="170"/>
      <c r="E8" s="169"/>
      <c r="F8" s="30" t="s">
        <v>202</v>
      </c>
      <c r="G8" s="172"/>
      <c r="H8" s="92">
        <v>2500</v>
      </c>
      <c r="I8" s="48">
        <v>2500</v>
      </c>
      <c r="J8" s="71">
        <f>+I8+70+2480</f>
        <v>5050</v>
      </c>
      <c r="K8" s="2">
        <f>+J8</f>
        <v>5050</v>
      </c>
      <c r="L8" s="132">
        <f>+K8+1840</f>
        <v>6890</v>
      </c>
      <c r="M8" s="158">
        <v>500</v>
      </c>
      <c r="N8" s="53" t="s">
        <v>27</v>
      </c>
      <c r="O8" s="49" t="s">
        <v>225</v>
      </c>
      <c r="P8" s="53" t="s">
        <v>10</v>
      </c>
      <c r="Q8" s="14" t="s">
        <v>33</v>
      </c>
      <c r="R8" s="2">
        <v>2500</v>
      </c>
      <c r="S8" s="2">
        <v>2500</v>
      </c>
      <c r="T8" s="2">
        <f>+S8+1500</f>
        <v>4000</v>
      </c>
      <c r="U8" s="2">
        <v>6500</v>
      </c>
      <c r="V8" s="122">
        <v>2550</v>
      </c>
      <c r="W8" s="65">
        <v>2500</v>
      </c>
      <c r="X8" s="65">
        <v>2500</v>
      </c>
      <c r="Y8" s="65">
        <v>5050</v>
      </c>
      <c r="Z8" s="113">
        <f>+Y8</f>
        <v>5050</v>
      </c>
      <c r="AA8" s="113">
        <f>+Z8</f>
        <v>5050</v>
      </c>
      <c r="AB8" s="113">
        <f t="shared" si="4"/>
        <v>5050</v>
      </c>
      <c r="AC8" s="113">
        <f t="shared" si="4"/>
        <v>5050</v>
      </c>
      <c r="AD8" s="114"/>
      <c r="AE8" s="52" t="s">
        <v>27</v>
      </c>
      <c r="AF8" s="2">
        <v>0</v>
      </c>
      <c r="AG8" s="2">
        <v>1500</v>
      </c>
      <c r="AH8" s="16" t="s">
        <v>182</v>
      </c>
      <c r="AI8" s="2">
        <v>2500</v>
      </c>
      <c r="AJ8" s="65">
        <v>2570</v>
      </c>
      <c r="AK8" s="93">
        <f>+AJ8+2480</f>
        <v>5050</v>
      </c>
      <c r="AL8" s="93">
        <f>+AC8</f>
        <v>5050</v>
      </c>
      <c r="AM8" s="103">
        <f t="shared" si="1"/>
        <v>5050</v>
      </c>
      <c r="AN8" s="103">
        <f>+AM8</f>
        <v>5050</v>
      </c>
      <c r="AO8" s="103" t="s">
        <v>246</v>
      </c>
      <c r="AP8" s="155">
        <v>1082261000</v>
      </c>
      <c r="AQ8" s="156" t="s">
        <v>241</v>
      </c>
      <c r="AR8" s="168"/>
      <c r="AS8" s="157" t="s">
        <v>229</v>
      </c>
      <c r="AT8" s="153" t="s">
        <v>233</v>
      </c>
      <c r="AU8" s="64"/>
      <c r="AV8" s="175"/>
      <c r="AW8" s="64"/>
      <c r="AX8" s="64"/>
      <c r="AY8" s="64"/>
      <c r="AZ8" s="64"/>
      <c r="BA8" s="45">
        <v>500</v>
      </c>
      <c r="BB8" s="2">
        <v>2000</v>
      </c>
      <c r="BC8" s="2">
        <v>4000</v>
      </c>
      <c r="BD8" s="2">
        <v>6500</v>
      </c>
      <c r="BE8" s="2"/>
      <c r="BF8" s="169"/>
      <c r="BG8" s="169"/>
      <c r="BH8" s="169"/>
      <c r="BI8" s="169"/>
      <c r="BJ8" s="179"/>
      <c r="BK8" s="169"/>
      <c r="BL8" s="31">
        <v>240208871</v>
      </c>
      <c r="BM8" s="30"/>
      <c r="BN8" s="32">
        <f t="shared" si="5"/>
        <v>240208871</v>
      </c>
      <c r="BO8" s="33">
        <f>+BL8*1.03</f>
        <v>247415137.13</v>
      </c>
      <c r="BP8" s="16"/>
      <c r="BQ8" s="33">
        <f t="shared" si="2"/>
        <v>247415137.13</v>
      </c>
      <c r="BR8" s="16">
        <f>+BO8*1.03</f>
        <v>254837591.2439</v>
      </c>
      <c r="BS8" s="16"/>
      <c r="BT8" s="32">
        <f t="shared" si="3"/>
        <v>254837591.2439</v>
      </c>
      <c r="BU8" s="24">
        <f t="shared" si="6"/>
        <v>742461599.37389994</v>
      </c>
      <c r="BV8" s="4" t="s">
        <v>61</v>
      </c>
      <c r="BY8" s="49"/>
    </row>
    <row r="9" spans="1:78" s="51" customFormat="1" ht="173.25" customHeight="1" x14ac:dyDescent="0.25">
      <c r="A9" s="169"/>
      <c r="B9" s="166"/>
      <c r="C9" s="166"/>
      <c r="D9" s="116" t="s">
        <v>178</v>
      </c>
      <c r="E9" s="53" t="s">
        <v>9</v>
      </c>
      <c r="F9" s="116" t="s">
        <v>200</v>
      </c>
      <c r="G9" s="116" t="s">
        <v>203</v>
      </c>
      <c r="H9" s="116">
        <v>0</v>
      </c>
      <c r="I9" s="116">
        <v>0</v>
      </c>
      <c r="J9" s="116">
        <v>0</v>
      </c>
      <c r="K9" s="116">
        <v>0.95499999999999996</v>
      </c>
      <c r="L9" s="132">
        <f>+K9</f>
        <v>0.95499999999999996</v>
      </c>
      <c r="M9" s="158">
        <v>0.2</v>
      </c>
      <c r="N9" s="116" t="s">
        <v>196</v>
      </c>
      <c r="O9" s="53" t="s">
        <v>226</v>
      </c>
      <c r="P9" s="53" t="s">
        <v>8</v>
      </c>
      <c r="Q9" s="74">
        <v>0</v>
      </c>
      <c r="R9" s="115">
        <f>+BA9</f>
        <v>0</v>
      </c>
      <c r="S9" s="115">
        <f>+BB9</f>
        <v>0.15</v>
      </c>
      <c r="T9" s="116">
        <f>+S9+0.15</f>
        <v>0.3</v>
      </c>
      <c r="U9" s="116">
        <v>2</v>
      </c>
      <c r="V9" s="122">
        <v>0.95499999999999996</v>
      </c>
      <c r="W9" s="116">
        <v>0</v>
      </c>
      <c r="X9" s="116">
        <v>0</v>
      </c>
      <c r="Y9" s="116">
        <f>+X9</f>
        <v>0</v>
      </c>
      <c r="Z9" s="116">
        <v>0</v>
      </c>
      <c r="AA9" s="116">
        <v>0</v>
      </c>
      <c r="AB9" s="116">
        <v>0.5</v>
      </c>
      <c r="AC9" s="116">
        <v>0.95499999999999996</v>
      </c>
      <c r="AD9" s="112"/>
      <c r="AE9" s="116" t="s">
        <v>12</v>
      </c>
      <c r="AF9" s="116">
        <v>0.15</v>
      </c>
      <c r="AG9" s="116">
        <v>0.15</v>
      </c>
      <c r="AH9" s="53" t="s">
        <v>179</v>
      </c>
      <c r="AI9" s="116">
        <v>0</v>
      </c>
      <c r="AJ9" s="116">
        <v>0</v>
      </c>
      <c r="AK9" s="116">
        <v>0</v>
      </c>
      <c r="AL9" s="93">
        <f t="shared" ref="AL9" si="7">+AC9</f>
        <v>0.95499999999999996</v>
      </c>
      <c r="AM9" s="93">
        <f t="shared" si="1"/>
        <v>0.95499999999999996</v>
      </c>
      <c r="AN9" s="93">
        <f t="shared" si="1"/>
        <v>0.95499999999999996</v>
      </c>
      <c r="AO9" s="93" t="s">
        <v>247</v>
      </c>
      <c r="AP9" s="156">
        <v>450237000</v>
      </c>
      <c r="AQ9" s="156" t="s">
        <v>241</v>
      </c>
      <c r="AR9" s="169"/>
      <c r="AS9" s="157" t="s">
        <v>229</v>
      </c>
      <c r="AT9" s="130" t="s">
        <v>231</v>
      </c>
      <c r="AU9" s="61"/>
      <c r="AV9" s="61"/>
      <c r="AW9" s="61"/>
      <c r="AX9" s="61"/>
      <c r="AY9" s="61"/>
      <c r="AZ9" s="61"/>
      <c r="BA9" s="45">
        <v>0</v>
      </c>
      <c r="BB9" s="116">
        <v>0.15</v>
      </c>
      <c r="BC9" s="116">
        <v>0.3</v>
      </c>
      <c r="BD9" s="116">
        <v>0.5</v>
      </c>
      <c r="BE9" s="116"/>
      <c r="BF9" s="18"/>
      <c r="BG9" s="18"/>
      <c r="BH9" s="116" t="s">
        <v>48</v>
      </c>
      <c r="BI9" s="19">
        <v>0</v>
      </c>
      <c r="BJ9" s="20"/>
      <c r="BK9" s="21">
        <f>+BJ9+BI9</f>
        <v>0</v>
      </c>
      <c r="BL9" s="19">
        <v>137500000</v>
      </c>
      <c r="BM9" s="20"/>
      <c r="BN9" s="21">
        <f>+BM9+BL9</f>
        <v>137500000</v>
      </c>
      <c r="BO9" s="19">
        <f>+BL9*1.03</f>
        <v>141625000</v>
      </c>
      <c r="BP9" s="20"/>
      <c r="BQ9" s="21">
        <f t="shared" ref="BQ9" si="8">+BP9+BO9</f>
        <v>141625000</v>
      </c>
      <c r="BR9" s="19">
        <f>+BO9*1.03</f>
        <v>145873750</v>
      </c>
      <c r="BS9" s="20"/>
      <c r="BT9" s="21">
        <f t="shared" ref="BT9" si="9">+BS9+BR9</f>
        <v>145873750</v>
      </c>
      <c r="BU9" s="22">
        <f>+BK9+BN9+BQ9+BT9</f>
        <v>424998750</v>
      </c>
      <c r="BV9" s="115" t="s">
        <v>15</v>
      </c>
      <c r="BY9" s="50"/>
      <c r="BZ9" s="104"/>
    </row>
    <row r="10" spans="1:78" x14ac:dyDescent="0.25">
      <c r="AD10" s="99"/>
      <c r="AJ10" s="94"/>
      <c r="BZ10" s="104"/>
    </row>
    <row r="11" spans="1:78" x14ac:dyDescent="0.25">
      <c r="AT11" s="126"/>
    </row>
    <row r="36" spans="9:10" x14ac:dyDescent="0.25">
      <c r="I36" s="47">
        <v>820</v>
      </c>
      <c r="J36" s="51">
        <v>89.1</v>
      </c>
    </row>
  </sheetData>
  <mergeCells count="21">
    <mergeCell ref="BK6:BK8"/>
    <mergeCell ref="BF6:BF8"/>
    <mergeCell ref="BG6:BG8"/>
    <mergeCell ref="BH6:BH8"/>
    <mergeCell ref="BJ6:BJ8"/>
    <mergeCell ref="A1:BL1"/>
    <mergeCell ref="BF4:BF5"/>
    <mergeCell ref="BG4:BG5"/>
    <mergeCell ref="BH4:BH5"/>
    <mergeCell ref="B6:B9"/>
    <mergeCell ref="A4:A9"/>
    <mergeCell ref="D4:D5"/>
    <mergeCell ref="D6:D8"/>
    <mergeCell ref="C4:C5"/>
    <mergeCell ref="B4:B5"/>
    <mergeCell ref="E6:E8"/>
    <mergeCell ref="G6:G8"/>
    <mergeCell ref="AR4:AR9"/>
    <mergeCell ref="C6:C9"/>
    <mergeCell ref="AV6:AV8"/>
    <mergeCell ref="BI6:BI8"/>
  </mergeCells>
  <printOptions horizontalCentered="1" verticalCentered="1"/>
  <pageMargins left="0.9055118110236221" right="0.70866141732283472" top="0.74803149606299213" bottom="0.74803149606299213" header="0.31496062992125984" footer="0.31496062992125984"/>
  <pageSetup paperSize="5" scale="68" fitToWidth="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K14"/>
  <sheetViews>
    <sheetView topLeftCell="Q1" workbookViewId="0">
      <selection activeCell="U12" sqref="U12"/>
    </sheetView>
  </sheetViews>
  <sheetFormatPr baseColWidth="10" defaultRowHeight="15" x14ac:dyDescent="0.25"/>
  <cols>
    <col min="2" max="2" width="0" hidden="1" customWidth="1"/>
    <col min="11" max="12" width="0" hidden="1" customWidth="1"/>
    <col min="21" max="21" width="49.28515625" bestFit="1" customWidth="1"/>
  </cols>
  <sheetData>
    <row r="1" spans="1:89" ht="75.75" thickBot="1" x14ac:dyDescent="0.3">
      <c r="A1" s="34" t="s">
        <v>74</v>
      </c>
      <c r="B1" s="35" t="s">
        <v>75</v>
      </c>
      <c r="C1" s="36" t="s">
        <v>76</v>
      </c>
      <c r="D1" s="36" t="s">
        <v>77</v>
      </c>
      <c r="E1" s="36" t="s">
        <v>78</v>
      </c>
      <c r="F1" s="36" t="s">
        <v>79</v>
      </c>
      <c r="G1" s="36" t="s">
        <v>80</v>
      </c>
      <c r="H1" s="36" t="s">
        <v>81</v>
      </c>
      <c r="I1" s="36" t="s">
        <v>82</v>
      </c>
      <c r="J1" s="36" t="s">
        <v>83</v>
      </c>
      <c r="K1" s="36" t="s">
        <v>84</v>
      </c>
      <c r="L1" s="36" t="s">
        <v>85</v>
      </c>
      <c r="M1" s="36" t="s">
        <v>86</v>
      </c>
      <c r="N1" s="36" t="s">
        <v>87</v>
      </c>
      <c r="O1" s="36" t="s">
        <v>88</v>
      </c>
      <c r="P1" s="36" t="s">
        <v>89</v>
      </c>
      <c r="Q1" s="36" t="s">
        <v>90</v>
      </c>
      <c r="R1" s="36" t="s">
        <v>91</v>
      </c>
      <c r="S1" s="36" t="s">
        <v>92</v>
      </c>
      <c r="T1" s="36" t="s">
        <v>93</v>
      </c>
      <c r="U1" s="36" t="s">
        <v>94</v>
      </c>
      <c r="V1" s="36" t="s">
        <v>95</v>
      </c>
      <c r="W1" s="36" t="s">
        <v>96</v>
      </c>
      <c r="X1" s="36" t="s">
        <v>97</v>
      </c>
      <c r="Y1" s="36" t="s">
        <v>98</v>
      </c>
      <c r="Z1" s="36" t="s">
        <v>99</v>
      </c>
      <c r="AA1" s="36" t="s">
        <v>100</v>
      </c>
      <c r="AB1" s="36" t="s">
        <v>101</v>
      </c>
      <c r="AC1" s="36" t="s">
        <v>102</v>
      </c>
      <c r="AD1" s="36" t="s">
        <v>103</v>
      </c>
      <c r="AE1" s="36" t="s">
        <v>104</v>
      </c>
      <c r="AF1" s="36" t="s">
        <v>105</v>
      </c>
      <c r="AG1" s="36" t="s">
        <v>106</v>
      </c>
      <c r="AH1" s="36" t="s">
        <v>107</v>
      </c>
      <c r="AI1" s="36" t="s">
        <v>108</v>
      </c>
      <c r="AJ1" s="36" t="s">
        <v>109</v>
      </c>
      <c r="AK1" s="36" t="s">
        <v>62</v>
      </c>
      <c r="AL1" s="36" t="s">
        <v>110</v>
      </c>
      <c r="AM1" s="36" t="s">
        <v>111</v>
      </c>
      <c r="AN1" s="36" t="s">
        <v>49</v>
      </c>
      <c r="AO1" s="36" t="s">
        <v>50</v>
      </c>
      <c r="AP1" s="36" t="s">
        <v>112</v>
      </c>
      <c r="AQ1" s="36" t="s">
        <v>113</v>
      </c>
      <c r="AR1" s="36" t="s">
        <v>114</v>
      </c>
      <c r="AS1" s="36" t="s">
        <v>115</v>
      </c>
      <c r="AT1" s="36" t="s">
        <v>51</v>
      </c>
      <c r="AU1" s="36" t="s">
        <v>116</v>
      </c>
      <c r="AV1" s="36" t="s">
        <v>117</v>
      </c>
      <c r="AW1" s="36" t="s">
        <v>118</v>
      </c>
      <c r="AX1" s="36" t="s">
        <v>119</v>
      </c>
      <c r="AY1" s="36" t="s">
        <v>120</v>
      </c>
      <c r="AZ1" s="36" t="s">
        <v>121</v>
      </c>
      <c r="BA1" s="36" t="s">
        <v>122</v>
      </c>
      <c r="BB1" s="36" t="s">
        <v>123</v>
      </c>
      <c r="BC1" s="36" t="s">
        <v>124</v>
      </c>
      <c r="BD1" s="36" t="s">
        <v>125</v>
      </c>
      <c r="BE1" s="36" t="s">
        <v>126</v>
      </c>
      <c r="BF1" s="36" t="s">
        <v>127</v>
      </c>
      <c r="BG1" s="36" t="s">
        <v>128</v>
      </c>
      <c r="BH1" s="36" t="s">
        <v>129</v>
      </c>
      <c r="BI1" s="36" t="s">
        <v>130</v>
      </c>
      <c r="BJ1" s="36" t="s">
        <v>131</v>
      </c>
      <c r="BK1" s="36" t="s">
        <v>132</v>
      </c>
      <c r="BL1" s="36" t="s">
        <v>133</v>
      </c>
      <c r="BM1" s="36" t="s">
        <v>134</v>
      </c>
      <c r="BN1" s="36" t="s">
        <v>135</v>
      </c>
      <c r="BO1" s="36" t="s">
        <v>136</v>
      </c>
      <c r="BP1" s="36" t="s">
        <v>137</v>
      </c>
      <c r="BQ1" s="36" t="s">
        <v>138</v>
      </c>
      <c r="BR1" s="36" t="s">
        <v>139</v>
      </c>
      <c r="BS1" s="36" t="s">
        <v>140</v>
      </c>
      <c r="BT1" s="36" t="s">
        <v>141</v>
      </c>
      <c r="BU1" s="36" t="s">
        <v>142</v>
      </c>
      <c r="BV1" s="36" t="s">
        <v>143</v>
      </c>
      <c r="BW1" s="36" t="s">
        <v>144</v>
      </c>
      <c r="BX1" s="36" t="s">
        <v>145</v>
      </c>
      <c r="BY1" s="36" t="s">
        <v>146</v>
      </c>
      <c r="BZ1" s="36" t="s">
        <v>52</v>
      </c>
      <c r="CA1" s="36" t="s">
        <v>147</v>
      </c>
      <c r="CB1" s="36" t="s">
        <v>148</v>
      </c>
      <c r="CC1" s="36" t="s">
        <v>149</v>
      </c>
      <c r="CD1" s="36" t="s">
        <v>150</v>
      </c>
      <c r="CE1" s="36" t="s">
        <v>151</v>
      </c>
      <c r="CF1" s="36" t="s">
        <v>152</v>
      </c>
      <c r="CG1" s="36" t="s">
        <v>153</v>
      </c>
      <c r="CH1" s="36" t="s">
        <v>154</v>
      </c>
      <c r="CI1" s="36" t="s">
        <v>155</v>
      </c>
      <c r="CJ1" s="36" t="s">
        <v>156</v>
      </c>
      <c r="CK1" s="37" t="s">
        <v>157</v>
      </c>
    </row>
    <row r="2" spans="1:89" x14ac:dyDescent="0.25">
      <c r="A2" s="38" t="str">
        <f>IF(ISERROR(CONCATENATE($S2,".",VLOOKUP($G2,'[1]1_Metas_Resultados'!$D$4:$E$153,2,FALSE))),"Sin Registrar",CONCATENATE($S2,".",VLOOKUP($G2,'[1]1_Metas_Resultados'!$D$4:$E$153,2,FALSE)))</f>
        <v>A.10.1</v>
      </c>
      <c r="B2" s="38">
        <v>1</v>
      </c>
      <c r="C2" s="38" t="str">
        <f t="shared" ref="C2:C3" si="0">IF(A2="Sin Registrar"," ",CONCATENATE(A2,".",B2))</f>
        <v>A.10.1.1</v>
      </c>
      <c r="D2" s="38" t="str">
        <f>IF(ISERROR(CONCATENATE($S2,".",VLOOKUP($K2,'[1]1_Metas_Resultados'!$D$4:$E$153,2,FALSE))),"Sin Registrar",CONCATENATE($S2,".",VLOOKUP($K2,'[1]1_Metas_Resultados'!$D$4:$E$153,2,FALSE)))</f>
        <v>Sin Registrar</v>
      </c>
      <c r="E2" s="38" t="str">
        <f>IF(ISERROR(CONCATENATE($S2,".",VLOOKUP($L2,'[1]1_Metas_Resultados'!$D$4:$E$153,2,FALSE))),"Sin Registrar",CONCATENATE($S2,".",VLOOKUP($L2,'[1]1_Metas_Resultados'!$D$4:$E$153,2,FALSE)))</f>
        <v>Sin Registrar</v>
      </c>
      <c r="F2" s="39" t="str">
        <f>IF(ISERROR(VLOOKUP(G2,'[1]1_Metas_Resultados'!$D$4:$I$153,6,FALSE)),"",VLOOKUP(G2,'[1]1_Metas_Resultados'!$D$4:$I$153,6,FALSE))</f>
        <v>PLAN DE DRENAJES PLUVIALES</v>
      </c>
      <c r="G2" s="40" t="s">
        <v>158</v>
      </c>
      <c r="H2" s="40" t="s">
        <v>17</v>
      </c>
      <c r="I2" s="40">
        <v>5.41</v>
      </c>
      <c r="J2" s="40">
        <v>32.299999999999997</v>
      </c>
      <c r="K2" s="40"/>
      <c r="L2" s="40"/>
      <c r="M2" s="40" t="s">
        <v>67</v>
      </c>
      <c r="N2" s="40" t="s">
        <v>4</v>
      </c>
      <c r="O2" s="40">
        <v>5.41</v>
      </c>
      <c r="P2" s="40">
        <v>17.71</v>
      </c>
      <c r="Q2" s="40" t="s">
        <v>159</v>
      </c>
      <c r="R2" s="40" t="s">
        <v>43</v>
      </c>
      <c r="S2" s="41" t="s">
        <v>44</v>
      </c>
      <c r="T2" s="40"/>
      <c r="U2" s="40" t="s">
        <v>160</v>
      </c>
      <c r="V2" s="40">
        <v>0.3</v>
      </c>
      <c r="W2" s="40">
        <v>4.59</v>
      </c>
      <c r="X2" s="40">
        <v>6.41</v>
      </c>
      <c r="Y2" s="40">
        <v>6.410000000000001</v>
      </c>
      <c r="Z2" s="40">
        <v>0</v>
      </c>
      <c r="AA2" s="40">
        <v>0</v>
      </c>
      <c r="AB2" s="40">
        <v>0</v>
      </c>
      <c r="AC2" s="40">
        <v>0</v>
      </c>
      <c r="AD2" s="40">
        <v>0</v>
      </c>
      <c r="AE2" s="40">
        <v>0</v>
      </c>
      <c r="AF2" s="40">
        <v>0</v>
      </c>
      <c r="AG2" s="40">
        <v>0</v>
      </c>
      <c r="AH2" s="40">
        <v>0</v>
      </c>
      <c r="AI2" s="40">
        <v>0</v>
      </c>
      <c r="AJ2" s="40">
        <v>0</v>
      </c>
      <c r="AK2" s="40">
        <v>58000</v>
      </c>
      <c r="AL2" s="40">
        <v>0</v>
      </c>
      <c r="AM2" s="40">
        <v>0</v>
      </c>
      <c r="AN2" s="40">
        <v>0</v>
      </c>
      <c r="AO2" s="40">
        <v>58000</v>
      </c>
      <c r="AP2" s="40">
        <v>0</v>
      </c>
      <c r="AQ2" s="40">
        <v>0</v>
      </c>
      <c r="AR2" s="40">
        <v>0</v>
      </c>
      <c r="AS2" s="40">
        <v>0</v>
      </c>
      <c r="AT2" s="40">
        <v>751900</v>
      </c>
      <c r="AU2" s="40">
        <v>0</v>
      </c>
      <c r="AV2" s="40">
        <v>0</v>
      </c>
      <c r="AW2" s="40">
        <v>0</v>
      </c>
      <c r="AX2" s="40">
        <v>0</v>
      </c>
      <c r="AY2" s="40">
        <v>0</v>
      </c>
      <c r="AZ2" s="40">
        <v>0</v>
      </c>
      <c r="BA2" s="40">
        <v>0</v>
      </c>
      <c r="BB2" s="40">
        <v>0</v>
      </c>
      <c r="BC2" s="40">
        <v>0</v>
      </c>
      <c r="BD2" s="40">
        <v>0</v>
      </c>
      <c r="BE2" s="40">
        <v>751900</v>
      </c>
      <c r="BF2" s="40">
        <v>0</v>
      </c>
      <c r="BG2" s="40">
        <v>0</v>
      </c>
      <c r="BH2" s="40">
        <v>0</v>
      </c>
      <c r="BI2" s="40">
        <v>0</v>
      </c>
      <c r="BJ2" s="40">
        <v>774457</v>
      </c>
      <c r="BK2" s="40">
        <v>0</v>
      </c>
      <c r="BL2" s="40">
        <v>0</v>
      </c>
      <c r="BM2" s="40">
        <v>0</v>
      </c>
      <c r="BN2" s="40">
        <v>0</v>
      </c>
      <c r="BO2" s="40">
        <v>0</v>
      </c>
      <c r="BP2" s="40">
        <v>0</v>
      </c>
      <c r="BQ2" s="40">
        <v>0</v>
      </c>
      <c r="BR2" s="40">
        <v>0</v>
      </c>
      <c r="BS2" s="40">
        <v>0</v>
      </c>
      <c r="BT2" s="40">
        <v>0</v>
      </c>
      <c r="BU2" s="40">
        <v>774457</v>
      </c>
      <c r="BV2" s="40">
        <v>0</v>
      </c>
      <c r="BW2" s="40">
        <v>0</v>
      </c>
      <c r="BX2" s="40">
        <v>0</v>
      </c>
      <c r="BY2" s="40">
        <v>0</v>
      </c>
      <c r="BZ2" s="40">
        <v>797691</v>
      </c>
      <c r="CA2" s="40">
        <v>0</v>
      </c>
      <c r="CB2" s="40">
        <v>0</v>
      </c>
      <c r="CC2" s="40">
        <v>0</v>
      </c>
      <c r="CD2" s="40">
        <v>0</v>
      </c>
      <c r="CE2" s="40">
        <v>0</v>
      </c>
      <c r="CF2" s="40">
        <v>0</v>
      </c>
      <c r="CG2" s="40">
        <v>0</v>
      </c>
      <c r="CH2" s="40">
        <v>0</v>
      </c>
      <c r="CI2" s="40">
        <v>0</v>
      </c>
      <c r="CJ2" s="40">
        <v>0</v>
      </c>
      <c r="CK2" s="40">
        <v>797691</v>
      </c>
    </row>
    <row r="3" spans="1:89" x14ac:dyDescent="0.25">
      <c r="A3" s="42" t="str">
        <f>IF(ISERROR(CONCATENATE($S3,".",VLOOKUP($G3,'[1]1_Metas_Resultados'!$D$4:$E$153,2,FALSE))),"Sin Registrar",CONCATENATE($S3,".",VLOOKUP($G3,'[1]1_Metas_Resultados'!$D$4:$E$153,2,FALSE)))</f>
        <v>A.10.2</v>
      </c>
      <c r="B3" s="42">
        <f>+IF(A3=A2,B2+1,1)</f>
        <v>1</v>
      </c>
      <c r="C3" s="42" t="str">
        <f t="shared" si="0"/>
        <v>A.10.2.1</v>
      </c>
      <c r="D3" s="42" t="str">
        <f>IF(ISERROR(CONCATENATE($S3,".",VLOOKUP($K3,'[1]1_Metas_Resultados'!$D$4:$E$153,2,FALSE))),"Sin Registrar",CONCATENATE($S3,".",VLOOKUP($K3,'[1]1_Metas_Resultados'!$D$4:$E$153,2,FALSE)))</f>
        <v>Sin Registrar</v>
      </c>
      <c r="E3" s="42" t="str">
        <f>IF(ISERROR(CONCATENATE($S3,".",VLOOKUP($L3,'[1]1_Metas_Resultados'!$D$4:$E$153,2,FALSE))),"Sin Registrar",CONCATENATE($S3,".",VLOOKUP($L3,'[1]1_Metas_Resultados'!$D$4:$E$153,2,FALSE)))</f>
        <v>Sin Registrar</v>
      </c>
      <c r="F3" s="39" t="str">
        <f>IF(ISERROR(VLOOKUP(G3,'[1]1_Metas_Resultados'!$D$4:$I$153,6,FALSE)),"",VLOOKUP(G3,'[1]1_Metas_Resultados'!$D$4:$I$153,6,FALSE))</f>
        <v>PLAN DE DRENAJES PLUVIALES</v>
      </c>
      <c r="G3" s="39" t="s">
        <v>161</v>
      </c>
      <c r="H3" s="39" t="s">
        <v>17</v>
      </c>
      <c r="I3" s="39">
        <v>2.5499999999999998</v>
      </c>
      <c r="J3" s="39">
        <v>5.41</v>
      </c>
      <c r="K3" s="39"/>
      <c r="L3" s="39"/>
      <c r="M3" s="39" t="s">
        <v>66</v>
      </c>
      <c r="N3" s="39" t="s">
        <v>5</v>
      </c>
      <c r="O3" s="39">
        <v>2.5499999999999998</v>
      </c>
      <c r="P3" s="39">
        <v>3.38</v>
      </c>
      <c r="Q3" s="39" t="s">
        <v>159</v>
      </c>
      <c r="R3" s="39" t="s">
        <v>43</v>
      </c>
      <c r="S3" s="43" t="s">
        <v>44</v>
      </c>
      <c r="T3" s="39"/>
      <c r="U3" s="40" t="s">
        <v>160</v>
      </c>
      <c r="V3" s="39">
        <v>0.2</v>
      </c>
      <c r="W3" s="39">
        <v>0.8</v>
      </c>
      <c r="X3" s="39">
        <v>1.19</v>
      </c>
      <c r="Y3" s="39">
        <v>1.19</v>
      </c>
      <c r="Z3" s="39">
        <v>0</v>
      </c>
      <c r="AA3" s="39">
        <v>0</v>
      </c>
      <c r="AB3" s="39">
        <v>0</v>
      </c>
      <c r="AC3" s="39">
        <v>0</v>
      </c>
      <c r="AD3" s="39">
        <v>0</v>
      </c>
      <c r="AE3" s="39">
        <v>0</v>
      </c>
      <c r="AF3" s="39">
        <v>0</v>
      </c>
      <c r="AG3" s="39">
        <v>0</v>
      </c>
      <c r="AH3" s="39">
        <v>0</v>
      </c>
      <c r="AI3" s="39">
        <v>0</v>
      </c>
      <c r="AJ3" s="39">
        <v>0</v>
      </c>
      <c r="AK3" s="39">
        <v>4130888</v>
      </c>
      <c r="AL3" s="39">
        <v>0</v>
      </c>
      <c r="AM3" s="39">
        <v>0</v>
      </c>
      <c r="AN3" s="39">
        <v>13252316</v>
      </c>
      <c r="AO3" s="39">
        <v>17383204</v>
      </c>
      <c r="AP3" s="39">
        <v>0</v>
      </c>
      <c r="AQ3" s="39">
        <v>0</v>
      </c>
      <c r="AR3" s="39">
        <v>0</v>
      </c>
      <c r="AS3" s="39">
        <v>0</v>
      </c>
      <c r="AT3" s="39">
        <v>3562654</v>
      </c>
      <c r="AU3" s="39">
        <v>0</v>
      </c>
      <c r="AV3" s="39">
        <v>0</v>
      </c>
      <c r="AW3" s="39">
        <v>0</v>
      </c>
      <c r="AX3" s="39">
        <v>0</v>
      </c>
      <c r="AY3" s="39">
        <v>0</v>
      </c>
      <c r="AZ3" s="39">
        <v>0</v>
      </c>
      <c r="BA3" s="39">
        <v>0</v>
      </c>
      <c r="BB3" s="39">
        <v>0</v>
      </c>
      <c r="BC3" s="39">
        <v>0</v>
      </c>
      <c r="BD3" s="39">
        <v>0</v>
      </c>
      <c r="BE3" s="39">
        <v>3562654</v>
      </c>
      <c r="BF3" s="39">
        <v>0</v>
      </c>
      <c r="BG3" s="39">
        <v>0</v>
      </c>
      <c r="BH3" s="39">
        <v>0</v>
      </c>
      <c r="BI3" s="39">
        <v>0</v>
      </c>
      <c r="BJ3" s="39">
        <v>3669534</v>
      </c>
      <c r="BK3" s="39">
        <v>0</v>
      </c>
      <c r="BL3" s="39">
        <v>0</v>
      </c>
      <c r="BM3" s="39">
        <v>0</v>
      </c>
      <c r="BN3" s="39">
        <v>0</v>
      </c>
      <c r="BO3" s="39">
        <v>0</v>
      </c>
      <c r="BP3" s="39">
        <v>0</v>
      </c>
      <c r="BQ3" s="39">
        <v>0</v>
      </c>
      <c r="BR3" s="39">
        <v>0</v>
      </c>
      <c r="BS3" s="39">
        <v>0</v>
      </c>
      <c r="BT3" s="39">
        <v>0</v>
      </c>
      <c r="BU3" s="39">
        <v>3669534</v>
      </c>
      <c r="BV3" s="39">
        <v>0</v>
      </c>
      <c r="BW3" s="39">
        <v>0</v>
      </c>
      <c r="BX3" s="39">
        <v>0</v>
      </c>
      <c r="BY3" s="39">
        <v>0</v>
      </c>
      <c r="BZ3" s="39">
        <v>3779620</v>
      </c>
      <c r="CA3" s="39">
        <v>0</v>
      </c>
      <c r="CB3" s="39">
        <v>0</v>
      </c>
      <c r="CC3" s="39">
        <v>0</v>
      </c>
      <c r="CD3" s="39">
        <v>0</v>
      </c>
      <c r="CE3" s="39">
        <v>0</v>
      </c>
      <c r="CF3" s="39">
        <v>0</v>
      </c>
      <c r="CG3" s="39">
        <v>0</v>
      </c>
      <c r="CH3" s="39">
        <v>0</v>
      </c>
      <c r="CI3" s="39">
        <v>0</v>
      </c>
      <c r="CJ3" s="39">
        <v>0</v>
      </c>
      <c r="CK3" s="39">
        <v>3779620</v>
      </c>
    </row>
    <row r="4" spans="1:89" x14ac:dyDescent="0.25">
      <c r="A4" s="42" t="str">
        <f>IF(ISERROR(CONCATENATE($S4,".",VLOOKUP($G4,'[1]1_Metas_Resultados'!$D$4:$E$153,2,FALSE))),"Sin Registrar",CONCATENATE($S4,".",VLOOKUP($G4,'[1]1_Metas_Resultados'!$D$4:$E$153,2,FALSE)))</f>
        <v>A.15.5</v>
      </c>
      <c r="B4" s="42">
        <f>IF(A4="Sin Registrar"," ",IF(A4=A3,B3+1,1))</f>
        <v>1</v>
      </c>
      <c r="C4" s="42" t="str">
        <f>IF(A4="Sin Registrar"," ",CONCATENATE(A4,".",B4))</f>
        <v>A.15.5.1</v>
      </c>
      <c r="D4" s="42" t="str">
        <f>IF(ISERROR(CONCATENATE($S4,".",VLOOKUP($K4,'[1]1_Metas_Resultados'!$D$4:$E$153,2,FALSE))),"Sin Registrar",CONCATENATE($S4,".",VLOOKUP($K4,'[1]1_Metas_Resultados'!$D$4:$E$153,2,FALSE)))</f>
        <v>Sin Registrar</v>
      </c>
      <c r="E4" s="42" t="str">
        <f>IF(ISERROR(CONCATENATE($S4,".",VLOOKUP($L4,'[1]1_Metas_Resultados'!$D$4:$E$153,2,FALSE))),"Sin Registrar",CONCATENATE($S4,".",VLOOKUP($L4,'[1]1_Metas_Resultados'!$D$4:$E$153,2,FALSE)))</f>
        <v>Sin Registrar</v>
      </c>
      <c r="F4" s="39" t="str">
        <f>IF(ISERROR(VLOOKUP(G4,'[1]1_Metas_Resultados'!$D$4:$I$153,6,FALSE)),"",VLOOKUP(G4,'[1]1_Metas_Resultados'!$D$4:$I$153,6,FALSE))</f>
        <v>EQUIPAMIENTOS PARA LA COMPETITIVIDAD</v>
      </c>
      <c r="G4" s="39" t="s">
        <v>162</v>
      </c>
      <c r="H4" s="39" t="s">
        <v>39</v>
      </c>
      <c r="I4" s="39">
        <v>37</v>
      </c>
      <c r="J4" s="39">
        <v>46.25</v>
      </c>
      <c r="K4" s="39"/>
      <c r="L4" s="39"/>
      <c r="M4" s="39" t="s">
        <v>72</v>
      </c>
      <c r="N4" s="39" t="s">
        <v>6</v>
      </c>
      <c r="O4" s="39">
        <v>37</v>
      </c>
      <c r="P4" s="39">
        <f>46.25-37</f>
        <v>9.25</v>
      </c>
      <c r="Q4" s="39" t="s">
        <v>159</v>
      </c>
      <c r="R4" s="39" t="s">
        <v>163</v>
      </c>
      <c r="S4" s="43" t="s">
        <v>164</v>
      </c>
      <c r="T4" s="39"/>
      <c r="U4" s="39" t="s">
        <v>160</v>
      </c>
      <c r="V4" s="39">
        <v>0</v>
      </c>
      <c r="W4" s="39">
        <v>3</v>
      </c>
      <c r="X4" s="39">
        <v>6</v>
      </c>
      <c r="Y4" s="39">
        <v>9.25</v>
      </c>
      <c r="Z4" s="39">
        <v>0</v>
      </c>
      <c r="AA4" s="39">
        <v>0</v>
      </c>
      <c r="AB4" s="39">
        <v>0</v>
      </c>
      <c r="AC4" s="39">
        <v>0</v>
      </c>
      <c r="AD4" s="39">
        <v>0</v>
      </c>
      <c r="AE4" s="39">
        <v>0</v>
      </c>
      <c r="AF4" s="39">
        <v>0</v>
      </c>
      <c r="AG4" s="39">
        <v>0</v>
      </c>
      <c r="AH4" s="39">
        <v>0</v>
      </c>
      <c r="AI4" s="39">
        <v>0</v>
      </c>
      <c r="AJ4" s="39">
        <v>0</v>
      </c>
      <c r="AK4" s="39">
        <v>0</v>
      </c>
      <c r="AL4" s="39">
        <v>0</v>
      </c>
      <c r="AM4" s="39">
        <v>0</v>
      </c>
      <c r="AN4" s="39">
        <v>0</v>
      </c>
      <c r="AO4" s="39">
        <v>0</v>
      </c>
      <c r="AP4" s="39">
        <v>0</v>
      </c>
      <c r="AQ4" s="39">
        <v>0</v>
      </c>
      <c r="AR4" s="39">
        <v>0</v>
      </c>
      <c r="AS4" s="39">
        <v>0</v>
      </c>
      <c r="AT4" s="39">
        <v>240209</v>
      </c>
      <c r="AU4" s="39">
        <v>0</v>
      </c>
      <c r="AV4" s="39">
        <v>0</v>
      </c>
      <c r="AW4" s="39">
        <v>0</v>
      </c>
      <c r="AX4" s="39">
        <v>0</v>
      </c>
      <c r="AY4" s="39">
        <v>0</v>
      </c>
      <c r="AZ4" s="39">
        <v>0</v>
      </c>
      <c r="BA4" s="39">
        <v>0</v>
      </c>
      <c r="BB4" s="39">
        <v>0</v>
      </c>
      <c r="BC4" s="39">
        <v>0</v>
      </c>
      <c r="BD4" s="39">
        <v>0</v>
      </c>
      <c r="BE4" s="39">
        <v>240209</v>
      </c>
      <c r="BF4" s="39">
        <v>0</v>
      </c>
      <c r="BG4" s="39">
        <v>0</v>
      </c>
      <c r="BH4" s="39">
        <v>0</v>
      </c>
      <c r="BI4" s="39">
        <v>0</v>
      </c>
      <c r="BJ4" s="39">
        <v>247415</v>
      </c>
      <c r="BK4" s="39">
        <v>0</v>
      </c>
      <c r="BL4" s="39">
        <v>0</v>
      </c>
      <c r="BM4" s="39">
        <v>0</v>
      </c>
      <c r="BN4" s="39">
        <v>0</v>
      </c>
      <c r="BO4" s="39">
        <v>0</v>
      </c>
      <c r="BP4" s="39">
        <v>0</v>
      </c>
      <c r="BQ4" s="39">
        <v>0</v>
      </c>
      <c r="BR4" s="39">
        <v>0</v>
      </c>
      <c r="BS4" s="39">
        <v>0</v>
      </c>
      <c r="BT4" s="39">
        <v>0</v>
      </c>
      <c r="BU4" s="39">
        <v>247415</v>
      </c>
      <c r="BV4" s="39">
        <v>0</v>
      </c>
      <c r="BW4" s="39">
        <v>0</v>
      </c>
      <c r="BX4" s="39">
        <v>0</v>
      </c>
      <c r="BY4" s="39">
        <v>0</v>
      </c>
      <c r="BZ4" s="39">
        <v>254837</v>
      </c>
      <c r="CA4" s="39">
        <v>0</v>
      </c>
      <c r="CB4" s="39">
        <v>0</v>
      </c>
      <c r="CC4" s="39">
        <v>0</v>
      </c>
      <c r="CD4" s="39">
        <v>0</v>
      </c>
      <c r="CE4" s="39">
        <v>0</v>
      </c>
      <c r="CF4" s="39">
        <v>0</v>
      </c>
      <c r="CG4" s="39">
        <v>0</v>
      </c>
      <c r="CH4" s="39">
        <v>0</v>
      </c>
      <c r="CI4" s="39">
        <v>0</v>
      </c>
      <c r="CJ4" s="39">
        <v>0</v>
      </c>
      <c r="CK4" s="39">
        <v>254837</v>
      </c>
    </row>
    <row r="5" spans="1:89" x14ac:dyDescent="0.25">
      <c r="A5" s="42" t="str">
        <f>IF(ISERROR(CONCATENATE($S5,".",VLOOKUP($G5,'[1]1_Metas_Resultados'!$D$4:$E$153,2,FALSE))),"Sin Registrar",CONCATENATE($S5,".",VLOOKUP($G5,'[1]1_Metas_Resultados'!$D$4:$E$153,2,FALSE)))</f>
        <v>A.15.5</v>
      </c>
      <c r="B5" s="42">
        <f t="shared" ref="B5:B7" si="1">IF(A5="Sin Registrar"," ",IF(A5=A4,B4+1,1))</f>
        <v>2</v>
      </c>
      <c r="C5" s="42" t="str">
        <f t="shared" ref="C5:C7" si="2">IF(A5="Sin Registrar"," ",CONCATENATE(A5,".",B5))</f>
        <v>A.15.5.2</v>
      </c>
      <c r="D5" s="42" t="str">
        <f>IF(ISERROR(CONCATENATE($S5,".",VLOOKUP($K5,'[1]1_Metas_Resultados'!$D$4:$E$153,2,FALSE))),"Sin Registrar",CONCATENATE($S5,".",VLOOKUP($K5,'[1]1_Metas_Resultados'!$D$4:$E$153,2,FALSE)))</f>
        <v>Sin Registrar</v>
      </c>
      <c r="E5" s="42" t="str">
        <f>IF(ISERROR(CONCATENATE($S5,".",VLOOKUP($L5,'[1]1_Metas_Resultados'!$D$4:$E$153,2,FALSE))),"Sin Registrar",CONCATENATE($S5,".",VLOOKUP($L5,'[1]1_Metas_Resultados'!$D$4:$E$153,2,FALSE)))</f>
        <v>Sin Registrar</v>
      </c>
      <c r="F5" s="39" t="str">
        <f>IF(ISERROR(VLOOKUP(G5,'[1]1_Metas_Resultados'!$D$4:$I$153,6,FALSE)),"",VLOOKUP(G5,'[1]1_Metas_Resultados'!$D$4:$I$153,6,FALSE))</f>
        <v>EQUIPAMIENTOS PARA LA COMPETITIVIDAD</v>
      </c>
      <c r="G5" s="39" t="s">
        <v>162</v>
      </c>
      <c r="H5" s="39" t="s">
        <v>39</v>
      </c>
      <c r="I5" s="39">
        <v>37</v>
      </c>
      <c r="J5" s="39">
        <v>46.25</v>
      </c>
      <c r="K5" s="39"/>
      <c r="L5" s="39"/>
      <c r="M5" s="39" t="s">
        <v>71</v>
      </c>
      <c r="N5" s="39" t="s">
        <v>7</v>
      </c>
      <c r="O5" s="39">
        <v>3.96</v>
      </c>
      <c r="P5" s="39">
        <f>5.96-3.96</f>
        <v>2</v>
      </c>
      <c r="Q5" s="39" t="s">
        <v>159</v>
      </c>
      <c r="R5" s="39" t="s">
        <v>163</v>
      </c>
      <c r="S5" s="43" t="s">
        <v>164</v>
      </c>
      <c r="T5" s="39"/>
      <c r="U5" s="39" t="s">
        <v>160</v>
      </c>
      <c r="V5" s="39">
        <v>0</v>
      </c>
      <c r="W5" s="39">
        <v>0.5</v>
      </c>
      <c r="X5" s="39">
        <v>1.2</v>
      </c>
      <c r="Y5" s="39">
        <v>2</v>
      </c>
      <c r="Z5" s="39">
        <v>0</v>
      </c>
      <c r="AA5" s="39">
        <v>0</v>
      </c>
      <c r="AB5" s="39">
        <v>0</v>
      </c>
      <c r="AC5" s="39">
        <v>0</v>
      </c>
      <c r="AD5" s="39">
        <v>0</v>
      </c>
      <c r="AE5" s="39">
        <v>0</v>
      </c>
      <c r="AF5" s="39">
        <v>0</v>
      </c>
      <c r="AG5" s="39">
        <v>0</v>
      </c>
      <c r="AH5" s="39">
        <v>0</v>
      </c>
      <c r="AI5" s="39">
        <v>0</v>
      </c>
      <c r="AJ5" s="39">
        <v>0</v>
      </c>
      <c r="AK5" s="39">
        <v>0</v>
      </c>
      <c r="AL5" s="39">
        <v>0</v>
      </c>
      <c r="AM5" s="39">
        <v>0</v>
      </c>
      <c r="AN5" s="39">
        <v>0</v>
      </c>
      <c r="AO5" s="39">
        <v>0</v>
      </c>
      <c r="AP5" s="39">
        <v>0</v>
      </c>
      <c r="AQ5" s="39">
        <v>0</v>
      </c>
      <c r="AR5" s="39">
        <v>0</v>
      </c>
      <c r="AS5" s="39">
        <v>0</v>
      </c>
      <c r="AT5" s="39">
        <v>240209</v>
      </c>
      <c r="AU5" s="39">
        <v>0</v>
      </c>
      <c r="AV5" s="39">
        <v>0</v>
      </c>
      <c r="AW5" s="39">
        <v>0</v>
      </c>
      <c r="AX5" s="39">
        <v>0</v>
      </c>
      <c r="AY5" s="39">
        <v>0</v>
      </c>
      <c r="AZ5" s="39">
        <v>0</v>
      </c>
      <c r="BA5" s="39">
        <v>0</v>
      </c>
      <c r="BB5" s="39">
        <v>0</v>
      </c>
      <c r="BC5" s="39">
        <v>0</v>
      </c>
      <c r="BD5" s="39">
        <v>0</v>
      </c>
      <c r="BE5" s="39">
        <v>240209</v>
      </c>
      <c r="BF5" s="39">
        <v>0</v>
      </c>
      <c r="BG5" s="39">
        <v>0</v>
      </c>
      <c r="BH5" s="39">
        <v>0</v>
      </c>
      <c r="BI5" s="39">
        <v>0</v>
      </c>
      <c r="BJ5" s="39">
        <v>247415</v>
      </c>
      <c r="BK5" s="39">
        <v>0</v>
      </c>
      <c r="BL5" s="39">
        <v>0</v>
      </c>
      <c r="BM5" s="39">
        <v>0</v>
      </c>
      <c r="BN5" s="39">
        <v>0</v>
      </c>
      <c r="BO5" s="39">
        <v>0</v>
      </c>
      <c r="BP5" s="39">
        <v>0</v>
      </c>
      <c r="BQ5" s="39">
        <v>0</v>
      </c>
      <c r="BR5" s="39">
        <v>0</v>
      </c>
      <c r="BS5" s="39">
        <v>0</v>
      </c>
      <c r="BT5" s="39">
        <v>0</v>
      </c>
      <c r="BU5" s="39">
        <v>247415</v>
      </c>
      <c r="BV5" s="39">
        <v>0</v>
      </c>
      <c r="BW5" s="39">
        <v>0</v>
      </c>
      <c r="BX5" s="39">
        <v>0</v>
      </c>
      <c r="BY5" s="39">
        <v>0</v>
      </c>
      <c r="BZ5" s="39">
        <v>254837</v>
      </c>
      <c r="CA5" s="39">
        <v>0</v>
      </c>
      <c r="CB5" s="39">
        <v>0</v>
      </c>
      <c r="CC5" s="39">
        <v>0</v>
      </c>
      <c r="CD5" s="39">
        <v>0</v>
      </c>
      <c r="CE5" s="39">
        <v>0</v>
      </c>
      <c r="CF5" s="39">
        <v>0</v>
      </c>
      <c r="CG5" s="39">
        <v>0</v>
      </c>
      <c r="CH5" s="39">
        <v>0</v>
      </c>
      <c r="CI5" s="39">
        <v>0</v>
      </c>
      <c r="CJ5" s="39">
        <v>0</v>
      </c>
      <c r="CK5" s="39">
        <v>254837</v>
      </c>
    </row>
    <row r="6" spans="1:89" x14ac:dyDescent="0.25">
      <c r="A6" s="42" t="str">
        <f>IF(ISERROR(CONCATENATE($S6,".",VLOOKUP($G6,'[1]1_Metas_Resultados'!$D$4:$E$153,2,FALSE))),"Sin Registrar",CONCATENATE($S6,".",VLOOKUP($G6,'[1]1_Metas_Resultados'!$D$4:$E$153,2,FALSE)))</f>
        <v>A.15.5</v>
      </c>
      <c r="B6" s="42">
        <f t="shared" si="1"/>
        <v>3</v>
      </c>
      <c r="C6" s="42" t="str">
        <f t="shared" si="2"/>
        <v>A.15.5.3</v>
      </c>
      <c r="D6" s="42" t="str">
        <f>IF(ISERROR(CONCATENATE($S6,".",VLOOKUP($K6,'[1]1_Metas_Resultados'!$D$4:$E$153,2,FALSE))),"Sin Registrar",CONCATENATE($S6,".",VLOOKUP($K6,'[1]1_Metas_Resultados'!$D$4:$E$153,2,FALSE)))</f>
        <v>Sin Registrar</v>
      </c>
      <c r="E6" s="42" t="str">
        <f>IF(ISERROR(CONCATENATE($S6,".",VLOOKUP($L6,'[1]1_Metas_Resultados'!$D$4:$E$153,2,FALSE))),"Sin Registrar",CONCATENATE($S6,".",VLOOKUP($L6,'[1]1_Metas_Resultados'!$D$4:$E$153,2,FALSE)))</f>
        <v>Sin Registrar</v>
      </c>
      <c r="F6" s="39" t="str">
        <f>IF(ISERROR(VLOOKUP(G6,'[1]1_Metas_Resultados'!$D$4:$I$153,6,FALSE)),"",VLOOKUP(G6,'[1]1_Metas_Resultados'!$D$4:$I$153,6,FALSE))</f>
        <v>EQUIPAMIENTOS PARA LA COMPETITIVIDAD</v>
      </c>
      <c r="G6" s="39" t="s">
        <v>162</v>
      </c>
      <c r="H6" s="39" t="s">
        <v>39</v>
      </c>
      <c r="I6" s="39">
        <v>37</v>
      </c>
      <c r="J6" s="39">
        <v>46.25</v>
      </c>
      <c r="K6" s="39"/>
      <c r="L6" s="39"/>
      <c r="M6" s="39" t="s">
        <v>11</v>
      </c>
      <c r="N6" s="39" t="s">
        <v>10</v>
      </c>
      <c r="O6" s="39">
        <v>2500</v>
      </c>
      <c r="P6" s="39">
        <v>6500</v>
      </c>
      <c r="Q6" s="39" t="s">
        <v>159</v>
      </c>
      <c r="R6" s="39" t="s">
        <v>163</v>
      </c>
      <c r="S6" s="43" t="s">
        <v>164</v>
      </c>
      <c r="T6" s="39"/>
      <c r="U6" s="39" t="s">
        <v>160</v>
      </c>
      <c r="V6" s="39">
        <v>0</v>
      </c>
      <c r="W6" s="39">
        <v>2500</v>
      </c>
      <c r="X6" s="39">
        <v>4000</v>
      </c>
      <c r="Y6" s="39">
        <v>6500</v>
      </c>
      <c r="Z6" s="39">
        <v>0</v>
      </c>
      <c r="AA6" s="39">
        <v>0</v>
      </c>
      <c r="AB6" s="39">
        <v>0</v>
      </c>
      <c r="AC6" s="39">
        <v>0</v>
      </c>
      <c r="AD6" s="39">
        <v>0</v>
      </c>
      <c r="AE6" s="39">
        <v>0</v>
      </c>
      <c r="AF6" s="39">
        <v>0</v>
      </c>
      <c r="AG6" s="39">
        <v>0</v>
      </c>
      <c r="AH6" s="39">
        <v>0</v>
      </c>
      <c r="AI6" s="39">
        <v>0</v>
      </c>
      <c r="AJ6" s="39">
        <v>0</v>
      </c>
      <c r="AK6" s="39">
        <v>0</v>
      </c>
      <c r="AL6" s="39">
        <v>0</v>
      </c>
      <c r="AM6" s="39">
        <v>0</v>
      </c>
      <c r="AN6" s="39">
        <v>0</v>
      </c>
      <c r="AO6" s="39">
        <v>0</v>
      </c>
      <c r="AP6" s="39">
        <v>0</v>
      </c>
      <c r="AQ6" s="39">
        <v>0</v>
      </c>
      <c r="AR6" s="39">
        <v>0</v>
      </c>
      <c r="AS6" s="39">
        <v>0</v>
      </c>
      <c r="AT6" s="39">
        <v>240209</v>
      </c>
      <c r="AU6" s="39">
        <v>0</v>
      </c>
      <c r="AV6" s="39">
        <v>0</v>
      </c>
      <c r="AW6" s="39">
        <v>0</v>
      </c>
      <c r="AX6" s="39">
        <v>0</v>
      </c>
      <c r="AY6" s="39">
        <v>0</v>
      </c>
      <c r="AZ6" s="39">
        <v>0</v>
      </c>
      <c r="BA6" s="39">
        <v>0</v>
      </c>
      <c r="BB6" s="39">
        <v>0</v>
      </c>
      <c r="BC6" s="39">
        <v>0</v>
      </c>
      <c r="BD6" s="39">
        <v>0</v>
      </c>
      <c r="BE6" s="39">
        <v>240209</v>
      </c>
      <c r="BF6" s="39">
        <v>0</v>
      </c>
      <c r="BG6" s="39">
        <v>0</v>
      </c>
      <c r="BH6" s="39">
        <v>0</v>
      </c>
      <c r="BI6" s="39">
        <v>0</v>
      </c>
      <c r="BJ6" s="39">
        <v>247415</v>
      </c>
      <c r="BK6" s="39">
        <v>0</v>
      </c>
      <c r="BL6" s="39">
        <v>0</v>
      </c>
      <c r="BM6" s="39">
        <v>0</v>
      </c>
      <c r="BN6" s="39">
        <v>0</v>
      </c>
      <c r="BO6" s="39">
        <v>0</v>
      </c>
      <c r="BP6" s="39">
        <v>0</v>
      </c>
      <c r="BQ6" s="39">
        <v>0</v>
      </c>
      <c r="BR6" s="39">
        <v>0</v>
      </c>
      <c r="BS6" s="39">
        <v>0</v>
      </c>
      <c r="BT6" s="39">
        <v>0</v>
      </c>
      <c r="BU6" s="39">
        <v>247415</v>
      </c>
      <c r="BV6" s="39">
        <v>0</v>
      </c>
      <c r="BW6" s="39">
        <v>0</v>
      </c>
      <c r="BX6" s="39">
        <v>0</v>
      </c>
      <c r="BY6" s="39">
        <v>0</v>
      </c>
      <c r="BZ6" s="39">
        <v>254837</v>
      </c>
      <c r="CA6" s="39">
        <v>0</v>
      </c>
      <c r="CB6" s="39">
        <v>0</v>
      </c>
      <c r="CC6" s="39">
        <v>0</v>
      </c>
      <c r="CD6" s="39">
        <v>0</v>
      </c>
      <c r="CE6" s="39">
        <v>0</v>
      </c>
      <c r="CF6" s="39">
        <v>0</v>
      </c>
      <c r="CG6" s="39">
        <v>0</v>
      </c>
      <c r="CH6" s="39">
        <v>0</v>
      </c>
      <c r="CI6" s="39">
        <v>0</v>
      </c>
      <c r="CJ6" s="39">
        <v>0</v>
      </c>
      <c r="CK6" s="39">
        <v>254837</v>
      </c>
    </row>
    <row r="7" spans="1:89" x14ac:dyDescent="0.25">
      <c r="A7" s="42" t="str">
        <f>IF(ISERROR(CONCATENATE($S7,".",VLOOKUP($G7,'[1]1_Metas_Resultados'!$D$4:$E$153,2,FALSE))),"Sin Registrar",CONCATENATE($S7,".",VLOOKUP($G7,'[1]1_Metas_Resultados'!$D$4:$E$153,2,FALSE)))</f>
        <v>A.9.3</v>
      </c>
      <c r="B7" s="42">
        <f t="shared" si="1"/>
        <v>1</v>
      </c>
      <c r="C7" s="42" t="str">
        <f t="shared" si="2"/>
        <v>A.9.3.1</v>
      </c>
      <c r="D7" s="42" t="str">
        <f>IF(ISERROR(CONCATENATE($S7,".",VLOOKUP($K7,'[1]1_Metas_Resultados'!$D$4:$E$153,2,FALSE))),"Sin Registrar",CONCATENATE($S7,".",VLOOKUP($K7,'[1]1_Metas_Resultados'!$D$4:$E$153,2,FALSE)))</f>
        <v>Sin Registrar</v>
      </c>
      <c r="E7" s="42" t="str">
        <f>IF(ISERROR(CONCATENATE($S7,".",VLOOKUP($L7,'[1]1_Metas_Resultados'!$D$4:$E$153,2,FALSE))),"Sin Registrar",CONCATENATE($S7,".",VLOOKUP($L7,'[1]1_Metas_Resultados'!$D$4:$E$153,2,FALSE)))</f>
        <v>Sin Registrar</v>
      </c>
      <c r="F7" s="39" t="str">
        <f>IF(ISERROR(VLOOKUP(G7,'[1]1_Metas_Resultados'!$D$4:$I$153,6,FALSE)),"",VLOOKUP(G7,'[1]1_Metas_Resultados'!$D$4:$I$153,6,FALSE))</f>
        <v>SISTEMA DE LAGOS Y CAÑOS COMO SOPORTE ESTRUCTURAL DEL DESARROLLO DE LA CIUDAD Y SUS SISTEMAS DE ESPACIO PUBLICO, MOVILIDAD Y TRANSPORTE</v>
      </c>
      <c r="G7" s="39" t="s">
        <v>165</v>
      </c>
      <c r="H7" s="39" t="s">
        <v>38</v>
      </c>
      <c r="I7" s="39">
        <v>1</v>
      </c>
      <c r="J7" s="39">
        <v>1</v>
      </c>
      <c r="K7" s="39"/>
      <c r="L7" s="39"/>
      <c r="M7" s="39" t="s">
        <v>13</v>
      </c>
      <c r="N7" s="39" t="s">
        <v>166</v>
      </c>
      <c r="O7" s="39">
        <v>0</v>
      </c>
      <c r="P7" s="39">
        <v>1</v>
      </c>
      <c r="Q7" s="39" t="s">
        <v>159</v>
      </c>
      <c r="R7" s="39" t="s">
        <v>64</v>
      </c>
      <c r="S7" s="43" t="s">
        <v>167</v>
      </c>
      <c r="T7" s="39"/>
      <c r="U7" s="39" t="s">
        <v>160</v>
      </c>
      <c r="V7" s="39">
        <v>0</v>
      </c>
      <c r="W7" s="39">
        <v>1</v>
      </c>
      <c r="X7" s="39">
        <v>1</v>
      </c>
      <c r="Y7" s="39">
        <v>1</v>
      </c>
      <c r="Z7" s="39">
        <v>0</v>
      </c>
      <c r="AA7" s="39">
        <v>0</v>
      </c>
      <c r="AB7" s="39">
        <v>0</v>
      </c>
      <c r="AC7" s="39">
        <v>0</v>
      </c>
      <c r="AD7" s="39">
        <v>0</v>
      </c>
      <c r="AE7" s="39">
        <v>0</v>
      </c>
      <c r="AF7" s="39">
        <v>0</v>
      </c>
      <c r="AG7" s="39">
        <v>0</v>
      </c>
      <c r="AH7" s="39">
        <v>0</v>
      </c>
      <c r="AI7" s="39">
        <v>0</v>
      </c>
      <c r="AJ7" s="39">
        <v>0</v>
      </c>
      <c r="AK7" s="39">
        <v>0</v>
      </c>
      <c r="AL7" s="39">
        <v>0</v>
      </c>
      <c r="AM7" s="39">
        <v>0</v>
      </c>
      <c r="AN7" s="39">
        <v>0</v>
      </c>
      <c r="AO7" s="39">
        <v>0</v>
      </c>
      <c r="AP7" s="39">
        <v>0</v>
      </c>
      <c r="AQ7" s="39">
        <v>0</v>
      </c>
      <c r="AR7" s="39">
        <v>0</v>
      </c>
      <c r="AS7" s="39">
        <v>0</v>
      </c>
      <c r="AT7" s="39">
        <v>6972600</v>
      </c>
      <c r="AU7" s="39">
        <v>0</v>
      </c>
      <c r="AV7" s="39">
        <v>0</v>
      </c>
      <c r="AW7" s="39">
        <v>0</v>
      </c>
      <c r="AX7" s="39">
        <v>0</v>
      </c>
      <c r="AY7" s="39">
        <v>0</v>
      </c>
      <c r="AZ7" s="39">
        <v>0</v>
      </c>
      <c r="BA7" s="39">
        <v>0</v>
      </c>
      <c r="BB7" s="39">
        <v>0</v>
      </c>
      <c r="BC7" s="39">
        <v>0</v>
      </c>
      <c r="BD7" s="39">
        <v>0</v>
      </c>
      <c r="BE7" s="39">
        <v>6972600</v>
      </c>
      <c r="BF7" s="39">
        <v>0</v>
      </c>
      <c r="BG7" s="39">
        <v>0</v>
      </c>
      <c r="BH7" s="39">
        <v>0</v>
      </c>
      <c r="BI7" s="39">
        <v>0</v>
      </c>
      <c r="BJ7" s="39">
        <v>7181778</v>
      </c>
      <c r="BK7" s="39">
        <v>0</v>
      </c>
      <c r="BL7" s="39">
        <v>0</v>
      </c>
      <c r="BM7" s="39">
        <v>0</v>
      </c>
      <c r="BN7" s="39">
        <v>0</v>
      </c>
      <c r="BO7" s="39">
        <v>0</v>
      </c>
      <c r="BP7" s="39">
        <v>0</v>
      </c>
      <c r="BQ7" s="39">
        <v>0</v>
      </c>
      <c r="BR7" s="39">
        <v>0</v>
      </c>
      <c r="BS7" s="39">
        <v>0</v>
      </c>
      <c r="BT7" s="39">
        <v>0</v>
      </c>
      <c r="BU7" s="39">
        <v>7181778</v>
      </c>
      <c r="BV7" s="39">
        <v>0</v>
      </c>
      <c r="BW7" s="39">
        <v>0</v>
      </c>
      <c r="BX7" s="39">
        <v>0</v>
      </c>
      <c r="BY7" s="39">
        <v>0</v>
      </c>
      <c r="BZ7" s="39">
        <v>7397231</v>
      </c>
      <c r="CA7" s="39">
        <v>0</v>
      </c>
      <c r="CB7" s="39">
        <v>0</v>
      </c>
      <c r="CC7" s="39">
        <v>0</v>
      </c>
      <c r="CD7" s="39">
        <v>0</v>
      </c>
      <c r="CE7" s="39">
        <v>0</v>
      </c>
      <c r="CF7" s="39">
        <v>0</v>
      </c>
      <c r="CG7" s="39">
        <v>0</v>
      </c>
      <c r="CH7" s="39">
        <v>0</v>
      </c>
      <c r="CI7" s="39">
        <v>0</v>
      </c>
      <c r="CJ7" s="39">
        <v>0</v>
      </c>
      <c r="CK7" s="39">
        <v>7397231</v>
      </c>
    </row>
    <row r="10" spans="1:89" x14ac:dyDescent="0.25">
      <c r="W10" s="124">
        <v>0.3</v>
      </c>
    </row>
    <row r="11" spans="1:89" x14ac:dyDescent="0.25">
      <c r="T11" s="51"/>
      <c r="W11" s="124">
        <v>0.45</v>
      </c>
      <c r="X11" s="120">
        <f>+X2+W2</f>
        <v>11</v>
      </c>
      <c r="Y11" s="120">
        <f>+Y2+X2</f>
        <v>12.82</v>
      </c>
    </row>
    <row r="12" spans="1:89" x14ac:dyDescent="0.25">
      <c r="J12">
        <f>+J3-I3</f>
        <v>2.8600000000000003</v>
      </c>
      <c r="W12" s="124">
        <f>5.41-2.55-W10-W11-W14</f>
        <v>0.18000000000000038</v>
      </c>
    </row>
    <row r="13" spans="1:89" x14ac:dyDescent="0.25">
      <c r="W13" s="124"/>
      <c r="X13">
        <v>2.86</v>
      </c>
    </row>
    <row r="14" spans="1:89" x14ac:dyDescent="0.25">
      <c r="W14">
        <v>1.93</v>
      </c>
      <c r="X14">
        <v>3.38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19" sqref="A19"/>
    </sheetView>
  </sheetViews>
  <sheetFormatPr baseColWidth="10"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VALORIZACION</vt:lpstr>
      <vt:lpstr>DNP</vt:lpstr>
      <vt:lpstr>Hoja1</vt:lpstr>
      <vt:lpstr>VALORIZACION!Área_de_impresión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luz marlene andrade hong</dc:creator>
  <cp:lastModifiedBy>luz marina severiche monroy</cp:lastModifiedBy>
  <cp:lastPrinted>2019-10-09T17:20:05Z</cp:lastPrinted>
  <dcterms:created xsi:type="dcterms:W3CDTF">2016-03-12T17:47:52Z</dcterms:created>
  <dcterms:modified xsi:type="dcterms:W3CDTF">2020-01-29T19:19:24Z</dcterms:modified>
</cp:coreProperties>
</file>